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Nextcloud\CyberNavigator\"/>
    </mc:Choice>
  </mc:AlternateContent>
  <xr:revisionPtr revIDLastSave="0" documentId="13_ncr:1_{96AB8245-852C-45A7-8291-DF08CB48CD8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Anleitung" sheetId="1" r:id="rId1"/>
    <sheet name="Unternehmensdaten" sheetId="2" r:id="rId2"/>
    <sheet name="Dashboard" sheetId="3" r:id="rId3"/>
    <sheet name="Executive Summary" sheetId="4" r:id="rId4"/>
    <sheet name="Bewertung" sheetId="5" r:id="rId5"/>
    <sheet name="Ergebnisse" sheetId="6" r:id="rId6"/>
    <sheet name="Gefährdung" sheetId="7" r:id="rId7"/>
    <sheet name="Empfehlungen" sheetId="8" r:id="rId8"/>
    <sheet name="Roadmap" sheetId="9" r:id="rId9"/>
    <sheet name="Massnahmenplan" sheetId="10" r:id="rId10"/>
    <sheet name="Hilfsmittel" sheetId="11" r:id="rId1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6" i="10" l="1"/>
  <c r="D35" i="10"/>
  <c r="D34" i="10"/>
  <c r="D33" i="10"/>
  <c r="D32" i="10"/>
  <c r="J29" i="10"/>
  <c r="E27" i="10"/>
  <c r="D27" i="10"/>
  <c r="E26" i="10"/>
  <c r="D26" i="10"/>
  <c r="E25" i="10"/>
  <c r="D25" i="10"/>
  <c r="E24" i="10"/>
  <c r="D24" i="10"/>
  <c r="E23" i="10"/>
  <c r="D23" i="10"/>
  <c r="E22" i="10"/>
  <c r="D22" i="10"/>
  <c r="E21" i="10"/>
  <c r="D21" i="10"/>
  <c r="E20" i="10"/>
  <c r="D20" i="10"/>
  <c r="E19" i="10"/>
  <c r="D19" i="10"/>
  <c r="E18" i="10"/>
  <c r="D18" i="10"/>
  <c r="E17" i="10"/>
  <c r="D17" i="10"/>
  <c r="E16" i="10"/>
  <c r="D16" i="10"/>
  <c r="E15" i="10"/>
  <c r="D15" i="10"/>
  <c r="E14" i="10"/>
  <c r="D14" i="10"/>
  <c r="E13" i="10"/>
  <c r="D13" i="10"/>
  <c r="E12" i="10"/>
  <c r="D12" i="10"/>
  <c r="E11" i="10"/>
  <c r="D11" i="10"/>
  <c r="E10" i="10"/>
  <c r="D10" i="10"/>
  <c r="E9" i="10"/>
  <c r="D9" i="10"/>
  <c r="E8" i="10"/>
  <c r="D8" i="10"/>
  <c r="E7" i="10"/>
  <c r="D7" i="10"/>
  <c r="E6" i="10"/>
  <c r="D6" i="10"/>
  <c r="L27" i="8"/>
  <c r="K27" i="8"/>
  <c r="E27" i="8"/>
  <c r="D27" i="8"/>
  <c r="L26" i="8"/>
  <c r="K26" i="8"/>
  <c r="E26" i="8"/>
  <c r="D26" i="8"/>
  <c r="L25" i="8"/>
  <c r="K25" i="8"/>
  <c r="E25" i="8"/>
  <c r="D25" i="8"/>
  <c r="L24" i="8"/>
  <c r="K24" i="8"/>
  <c r="E24" i="8"/>
  <c r="D24" i="8"/>
  <c r="L23" i="8"/>
  <c r="K23" i="8"/>
  <c r="E23" i="8"/>
  <c r="D23" i="8"/>
  <c r="L22" i="8"/>
  <c r="K22" i="8"/>
  <c r="E22" i="8"/>
  <c r="D22" i="8"/>
  <c r="L21" i="8"/>
  <c r="K21" i="8"/>
  <c r="E21" i="8"/>
  <c r="D21" i="8"/>
  <c r="L20" i="8"/>
  <c r="K20" i="8"/>
  <c r="F77" i="9" s="1"/>
  <c r="E20" i="8"/>
  <c r="D20" i="8"/>
  <c r="L19" i="8"/>
  <c r="K19" i="8"/>
  <c r="E19" i="8"/>
  <c r="D19" i="8"/>
  <c r="L18" i="8"/>
  <c r="K18" i="8"/>
  <c r="E18" i="8"/>
  <c r="D18" i="8"/>
  <c r="L17" i="8"/>
  <c r="K17" i="8"/>
  <c r="E17" i="8"/>
  <c r="D17" i="8"/>
  <c r="L16" i="8"/>
  <c r="K16" i="8"/>
  <c r="E16" i="8"/>
  <c r="D16" i="8"/>
  <c r="L15" i="8"/>
  <c r="K15" i="8"/>
  <c r="E15" i="8"/>
  <c r="D15" i="8"/>
  <c r="L14" i="8"/>
  <c r="K14" i="8"/>
  <c r="E14" i="8"/>
  <c r="D14" i="8"/>
  <c r="L13" i="8"/>
  <c r="K13" i="8"/>
  <c r="E13" i="8"/>
  <c r="D13" i="8"/>
  <c r="L12" i="8"/>
  <c r="K12" i="8"/>
  <c r="E12" i="8"/>
  <c r="D12" i="8"/>
  <c r="L11" i="8"/>
  <c r="K11" i="8"/>
  <c r="E11" i="8"/>
  <c r="D11" i="8"/>
  <c r="L10" i="8"/>
  <c r="K10" i="8"/>
  <c r="F67" i="9" s="1"/>
  <c r="E10" i="8"/>
  <c r="D10" i="8"/>
  <c r="L9" i="8"/>
  <c r="K9" i="8"/>
  <c r="E9" i="8"/>
  <c r="D9" i="8"/>
  <c r="L8" i="8"/>
  <c r="K8" i="8"/>
  <c r="E8" i="8"/>
  <c r="D8" i="8"/>
  <c r="L7" i="8"/>
  <c r="K7" i="8"/>
  <c r="E7" i="8"/>
  <c r="D7" i="8"/>
  <c r="L6" i="8"/>
  <c r="K6" i="8"/>
  <c r="E6" i="8"/>
  <c r="D6" i="8"/>
  <c r="E29" i="7"/>
  <c r="E34" i="7" s="1"/>
  <c r="E28" i="7"/>
  <c r="E27" i="7"/>
  <c r="E26" i="7"/>
  <c r="E25" i="7"/>
  <c r="E24" i="7"/>
  <c r="E23" i="7"/>
  <c r="E22" i="7"/>
  <c r="E21" i="7"/>
  <c r="E15" i="7"/>
  <c r="E14" i="7"/>
  <c r="E13" i="7"/>
  <c r="E12" i="7"/>
  <c r="E11" i="7"/>
  <c r="E10" i="7"/>
  <c r="E9" i="7"/>
  <c r="E8" i="7"/>
  <c r="E7" i="7"/>
  <c r="C54" i="6"/>
  <c r="C53" i="6"/>
  <c r="C52" i="6"/>
  <c r="D21" i="6"/>
  <c r="D20" i="6"/>
  <c r="D19" i="6"/>
  <c r="C19" i="6"/>
  <c r="D18" i="6"/>
  <c r="G11" i="6"/>
  <c r="E11" i="6"/>
  <c r="D11" i="6"/>
  <c r="C11" i="6"/>
  <c r="C21" i="6" s="1"/>
  <c r="E10" i="6"/>
  <c r="G10" i="6" s="1"/>
  <c r="D10" i="6"/>
  <c r="C10" i="6"/>
  <c r="C20" i="6" s="1"/>
  <c r="G9" i="6"/>
  <c r="E9" i="6"/>
  <c r="D9" i="6"/>
  <c r="C9" i="6"/>
  <c r="E8" i="6"/>
  <c r="C51" i="6" s="1"/>
  <c r="D8" i="6"/>
  <c r="C8" i="6"/>
  <c r="C18" i="6" s="1"/>
  <c r="G7" i="6"/>
  <c r="E7" i="6"/>
  <c r="C50" i="6" s="1"/>
  <c r="D7" i="6"/>
  <c r="D17" i="6" s="1"/>
  <c r="C7" i="6"/>
  <c r="C17" i="6" s="1"/>
  <c r="D6" i="6"/>
  <c r="C6" i="6"/>
  <c r="H33" i="5"/>
  <c r="F27" i="8" s="1"/>
  <c r="H32" i="5"/>
  <c r="F26" i="8" s="1"/>
  <c r="H30" i="5"/>
  <c r="F25" i="10" s="1"/>
  <c r="H29" i="5"/>
  <c r="F24" i="10" s="1"/>
  <c r="H28" i="5"/>
  <c r="I28" i="5" s="1"/>
  <c r="H27" i="5"/>
  <c r="F22" i="10" s="1"/>
  <c r="H25" i="5"/>
  <c r="F21" i="10" s="1"/>
  <c r="H24" i="5"/>
  <c r="F20" i="8" s="1"/>
  <c r="H22" i="5"/>
  <c r="F19" i="10" s="1"/>
  <c r="H21" i="5"/>
  <c r="I21" i="5" s="1"/>
  <c r="H20" i="5"/>
  <c r="F17" i="8" s="1"/>
  <c r="H19" i="5"/>
  <c r="F16" i="8" s="1"/>
  <c r="H18" i="5"/>
  <c r="F15" i="10" s="1"/>
  <c r="H16" i="5"/>
  <c r="F14" i="10" s="1"/>
  <c r="H15" i="5"/>
  <c r="I15" i="5" s="1"/>
  <c r="H14" i="5"/>
  <c r="F12" i="10" s="1"/>
  <c r="H12" i="5"/>
  <c r="F11" i="10" s="1"/>
  <c r="H11" i="5"/>
  <c r="F10" i="8" s="1"/>
  <c r="H10" i="5"/>
  <c r="F9" i="10" s="1"/>
  <c r="H9" i="5"/>
  <c r="I9" i="5" s="1"/>
  <c r="H8" i="5"/>
  <c r="F7" i="8" s="1"/>
  <c r="H7" i="5"/>
  <c r="F6" i="8" s="1"/>
  <c r="C22" i="4"/>
  <c r="F18" i="4"/>
  <c r="E18" i="4"/>
  <c r="D18" i="4"/>
  <c r="C18" i="4"/>
  <c r="F17" i="4"/>
  <c r="E17" i="4"/>
  <c r="D17" i="4"/>
  <c r="C17" i="4"/>
  <c r="F16" i="4"/>
  <c r="E16" i="4"/>
  <c r="D16" i="4"/>
  <c r="C16" i="4"/>
  <c r="F15" i="4"/>
  <c r="E15" i="4"/>
  <c r="D15" i="4"/>
  <c r="C15" i="4"/>
  <c r="F14" i="4"/>
  <c r="E14" i="4"/>
  <c r="D14" i="4"/>
  <c r="C14" i="4"/>
  <c r="D13" i="4"/>
  <c r="E4" i="4"/>
  <c r="B4" i="4"/>
  <c r="C51" i="3"/>
  <c r="C47" i="3"/>
  <c r="C44" i="3"/>
  <c r="D39" i="3"/>
  <c r="C39" i="3"/>
  <c r="E23" i="3"/>
  <c r="D23" i="3"/>
  <c r="C23" i="3"/>
  <c r="E22" i="3"/>
  <c r="D22" i="3"/>
  <c r="C22" i="3"/>
  <c r="E21" i="3"/>
  <c r="D21" i="3"/>
  <c r="C21" i="3"/>
  <c r="E20" i="3"/>
  <c r="D20" i="3"/>
  <c r="C20" i="3"/>
  <c r="E19" i="3"/>
  <c r="D19" i="3"/>
  <c r="C19" i="3"/>
  <c r="D18" i="3"/>
  <c r="E14" i="3"/>
  <c r="H14" i="3" s="1"/>
  <c r="D14" i="3"/>
  <c r="C14" i="3"/>
  <c r="H13" i="3"/>
  <c r="F13" i="3"/>
  <c r="E13" i="3"/>
  <c r="D13" i="3"/>
  <c r="C13" i="3"/>
  <c r="E12" i="3"/>
  <c r="F12" i="3" s="1"/>
  <c r="D12" i="3"/>
  <c r="C12" i="3"/>
  <c r="H11" i="3"/>
  <c r="E11" i="3"/>
  <c r="F11" i="3" s="1"/>
  <c r="D11" i="3"/>
  <c r="C11" i="3"/>
  <c r="E10" i="3"/>
  <c r="F10" i="3" s="1"/>
  <c r="D10" i="3"/>
  <c r="C10" i="3"/>
  <c r="D9" i="3"/>
  <c r="D33" i="2"/>
  <c r="C25" i="4" s="1"/>
  <c r="D31" i="2"/>
  <c r="D29" i="2"/>
  <c r="D25" i="2"/>
  <c r="D24" i="2"/>
  <c r="D23" i="2"/>
  <c r="D28" i="2" s="1"/>
  <c r="D12" i="6" l="1"/>
  <c r="E6" i="6"/>
  <c r="G6" i="6" s="1"/>
  <c r="C12" i="6"/>
  <c r="C18" i="3"/>
  <c r="C9" i="3"/>
  <c r="C13" i="4"/>
  <c r="E16" i="7"/>
  <c r="E35" i="7" s="1"/>
  <c r="E33" i="7"/>
  <c r="D38" i="3"/>
  <c r="D52" i="7"/>
  <c r="C38" i="3"/>
  <c r="C52" i="7"/>
  <c r="B64" i="9"/>
  <c r="B37" i="9"/>
  <c r="B10" i="9"/>
  <c r="G7" i="8"/>
  <c r="N7" i="8"/>
  <c r="M7" i="8"/>
  <c r="J7" i="8"/>
  <c r="F73" i="9"/>
  <c r="F46" i="9"/>
  <c r="F19" i="9"/>
  <c r="E73" i="9"/>
  <c r="E46" i="9"/>
  <c r="E19" i="9"/>
  <c r="D73" i="9"/>
  <c r="D46" i="9"/>
  <c r="D19" i="9"/>
  <c r="C73" i="9"/>
  <c r="C46" i="9"/>
  <c r="C19" i="9"/>
  <c r="N16" i="8"/>
  <c r="B73" i="9"/>
  <c r="B46" i="9"/>
  <c r="B19" i="9"/>
  <c r="M16" i="8"/>
  <c r="J16" i="8"/>
  <c r="G16" i="8"/>
  <c r="F83" i="9"/>
  <c r="F56" i="9"/>
  <c r="F29" i="9"/>
  <c r="E83" i="9"/>
  <c r="E56" i="9"/>
  <c r="E29" i="9"/>
  <c r="D83" i="9"/>
  <c r="D56" i="9"/>
  <c r="D29" i="9"/>
  <c r="C83" i="9"/>
  <c r="C56" i="9"/>
  <c r="C29" i="9"/>
  <c r="N26" i="8"/>
  <c r="B83" i="9"/>
  <c r="B56" i="9"/>
  <c r="B29" i="9"/>
  <c r="M26" i="8"/>
  <c r="J26" i="8"/>
  <c r="G26" i="8"/>
  <c r="F63" i="9"/>
  <c r="F36" i="9"/>
  <c r="F9" i="9"/>
  <c r="E63" i="9"/>
  <c r="E36" i="9"/>
  <c r="E9" i="9"/>
  <c r="D63" i="9"/>
  <c r="D36" i="9"/>
  <c r="D9" i="9"/>
  <c r="C63" i="9"/>
  <c r="C36" i="9"/>
  <c r="C9" i="9"/>
  <c r="N6" i="8"/>
  <c r="B63" i="9"/>
  <c r="B36" i="9"/>
  <c r="B9" i="9"/>
  <c r="M6" i="8"/>
  <c r="J6" i="8"/>
  <c r="G6" i="8"/>
  <c r="B74" i="9"/>
  <c r="B47" i="9"/>
  <c r="B20" i="9"/>
  <c r="G17" i="8"/>
  <c r="N17" i="8"/>
  <c r="M17" i="8"/>
  <c r="J17" i="8"/>
  <c r="B84" i="9"/>
  <c r="B57" i="9"/>
  <c r="B30" i="9"/>
  <c r="G27" i="8"/>
  <c r="N27" i="8"/>
  <c r="M27" i="8"/>
  <c r="J27" i="8"/>
  <c r="D15" i="3"/>
  <c r="E67" i="9"/>
  <c r="E40" i="9"/>
  <c r="E13" i="9"/>
  <c r="J10" i="8"/>
  <c r="D13" i="9"/>
  <c r="G10" i="8"/>
  <c r="N10" i="8"/>
  <c r="M10" i="8"/>
  <c r="F84" i="9"/>
  <c r="D34" i="2"/>
  <c r="C21" i="4"/>
  <c r="C8" i="4"/>
  <c r="C43" i="3"/>
  <c r="D6" i="3"/>
  <c r="C50" i="3"/>
  <c r="D5" i="3"/>
  <c r="E77" i="9"/>
  <c r="E50" i="9"/>
  <c r="E23" i="9"/>
  <c r="J20" i="8"/>
  <c r="D50" i="9"/>
  <c r="D23" i="9"/>
  <c r="G20" i="8"/>
  <c r="N20" i="8"/>
  <c r="M20" i="8"/>
  <c r="F64" i="9"/>
  <c r="F74" i="9"/>
  <c r="I10" i="5"/>
  <c r="I16" i="5"/>
  <c r="I22" i="5"/>
  <c r="I29" i="5"/>
  <c r="F6" i="6"/>
  <c r="G9" i="3" s="1"/>
  <c r="F8" i="6"/>
  <c r="G11" i="3" s="1"/>
  <c r="F10" i="6"/>
  <c r="G13" i="3" s="1"/>
  <c r="C16" i="6"/>
  <c r="F15" i="8"/>
  <c r="E45" i="9" s="1"/>
  <c r="F25" i="8"/>
  <c r="E28" i="9" s="1"/>
  <c r="C10" i="9"/>
  <c r="C12" i="9"/>
  <c r="C16" i="9"/>
  <c r="C20" i="9"/>
  <c r="C26" i="9"/>
  <c r="C30" i="9"/>
  <c r="C37" i="9"/>
  <c r="C41" i="9"/>
  <c r="C43" i="9"/>
  <c r="C47" i="9"/>
  <c r="C53" i="9"/>
  <c r="C57" i="9"/>
  <c r="C64" i="9"/>
  <c r="C66" i="9"/>
  <c r="C74" i="9"/>
  <c r="C80" i="9"/>
  <c r="C82" i="9"/>
  <c r="C84" i="9"/>
  <c r="F6" i="10"/>
  <c r="F16" i="10"/>
  <c r="F26" i="10"/>
  <c r="H10" i="3"/>
  <c r="H12" i="3"/>
  <c r="F14" i="3"/>
  <c r="G8" i="6"/>
  <c r="D16" i="6"/>
  <c r="F14" i="8"/>
  <c r="F24" i="8"/>
  <c r="B81" i="9" s="1"/>
  <c r="D10" i="9"/>
  <c r="D16" i="9"/>
  <c r="D18" i="9"/>
  <c r="D20" i="9"/>
  <c r="D26" i="9"/>
  <c r="D28" i="9"/>
  <c r="D30" i="9"/>
  <c r="D37" i="9"/>
  <c r="D43" i="9"/>
  <c r="D45" i="9"/>
  <c r="D47" i="9"/>
  <c r="D51" i="9"/>
  <c r="D53" i="9"/>
  <c r="D57" i="9"/>
  <c r="D64" i="9"/>
  <c r="D70" i="9"/>
  <c r="D72" i="9"/>
  <c r="D74" i="9"/>
  <c r="D76" i="9"/>
  <c r="D84" i="9"/>
  <c r="F13" i="10"/>
  <c r="F23" i="10"/>
  <c r="I11" i="5"/>
  <c r="I18" i="5"/>
  <c r="I24" i="5"/>
  <c r="I30" i="5"/>
  <c r="C53" i="7"/>
  <c r="F13" i="8"/>
  <c r="F23" i="8"/>
  <c r="E10" i="9"/>
  <c r="E16" i="9"/>
  <c r="E18" i="9"/>
  <c r="E20" i="9"/>
  <c r="E22" i="9"/>
  <c r="E24" i="9"/>
  <c r="E30" i="9"/>
  <c r="E37" i="9"/>
  <c r="E43" i="9"/>
  <c r="E47" i="9"/>
  <c r="E49" i="9"/>
  <c r="E53" i="9"/>
  <c r="E57" i="9"/>
  <c r="E64" i="9"/>
  <c r="E70" i="9"/>
  <c r="E72" i="9"/>
  <c r="E74" i="9"/>
  <c r="E80" i="9"/>
  <c r="E84" i="9"/>
  <c r="F10" i="10"/>
  <c r="F20" i="10"/>
  <c r="D53" i="7"/>
  <c r="F12" i="8"/>
  <c r="B42" i="9" s="1"/>
  <c r="F22" i="8"/>
  <c r="C25" i="9" s="1"/>
  <c r="F10" i="9"/>
  <c r="F16" i="9"/>
  <c r="F18" i="9"/>
  <c r="F20" i="9"/>
  <c r="F26" i="9"/>
  <c r="F28" i="9"/>
  <c r="F30" i="9"/>
  <c r="F37" i="9"/>
  <c r="F43" i="9"/>
  <c r="F45" i="9"/>
  <c r="F47" i="9"/>
  <c r="F51" i="9"/>
  <c r="F53" i="9"/>
  <c r="F57" i="9"/>
  <c r="F70" i="9"/>
  <c r="F78" i="9"/>
  <c r="F80" i="9"/>
  <c r="F7" i="10"/>
  <c r="F17" i="10"/>
  <c r="F27" i="10"/>
  <c r="I7" i="5"/>
  <c r="I12" i="5"/>
  <c r="I19" i="5"/>
  <c r="I25" i="5"/>
  <c r="I32" i="5"/>
  <c r="F11" i="8"/>
  <c r="D41" i="9" s="1"/>
  <c r="F21" i="8"/>
  <c r="B13" i="9"/>
  <c r="B15" i="9"/>
  <c r="B23" i="9"/>
  <c r="B27" i="9"/>
  <c r="B40" i="9"/>
  <c r="B50" i="9"/>
  <c r="B54" i="9"/>
  <c r="B67" i="9"/>
  <c r="B77" i="9"/>
  <c r="F7" i="6"/>
  <c r="G10" i="3" s="1"/>
  <c r="F9" i="6"/>
  <c r="G12" i="3" s="1"/>
  <c r="F11" i="6"/>
  <c r="G14" i="3" s="1"/>
  <c r="C13" i="9"/>
  <c r="C15" i="9"/>
  <c r="C23" i="9"/>
  <c r="C40" i="9"/>
  <c r="C50" i="9"/>
  <c r="C67" i="9"/>
  <c r="C77" i="9"/>
  <c r="D89" i="9"/>
  <c r="I8" i="5"/>
  <c r="I14" i="5"/>
  <c r="I20" i="5"/>
  <c r="I27" i="5"/>
  <c r="I33" i="5"/>
  <c r="F9" i="8"/>
  <c r="C39" i="9" s="1"/>
  <c r="F19" i="8"/>
  <c r="D22" i="9" s="1"/>
  <c r="D40" i="9"/>
  <c r="D67" i="9"/>
  <c r="D77" i="9"/>
  <c r="D90" i="9"/>
  <c r="F8" i="10"/>
  <c r="F18" i="10"/>
  <c r="F8" i="8"/>
  <c r="E33" i="3" s="1"/>
  <c r="F18" i="8"/>
  <c r="F13" i="9"/>
  <c r="F15" i="9"/>
  <c r="F23" i="9"/>
  <c r="F40" i="9"/>
  <c r="F50" i="9"/>
  <c r="B12" i="9"/>
  <c r="B14" i="9"/>
  <c r="B16" i="9"/>
  <c r="B22" i="9"/>
  <c r="B24" i="9"/>
  <c r="B43" i="9"/>
  <c r="B51" i="9"/>
  <c r="B53" i="9"/>
  <c r="B8" i="4" l="1"/>
  <c r="C15" i="3"/>
  <c r="B6" i="3"/>
  <c r="B9" i="4"/>
  <c r="B5" i="3"/>
  <c r="E12" i="6"/>
  <c r="E15" i="3" s="1"/>
  <c r="E9" i="3"/>
  <c r="F13" i="4"/>
  <c r="E18" i="3"/>
  <c r="E13" i="4"/>
  <c r="C49" i="6"/>
  <c r="F31" i="3"/>
  <c r="C33" i="3"/>
  <c r="B68" i="9"/>
  <c r="M21" i="8"/>
  <c r="J21" i="8"/>
  <c r="G21" i="8"/>
  <c r="N21" i="8"/>
  <c r="F49" i="9"/>
  <c r="F24" i="9"/>
  <c r="D49" i="9"/>
  <c r="D24" i="9"/>
  <c r="C14" i="9"/>
  <c r="C32" i="3"/>
  <c r="D32" i="3"/>
  <c r="C69" i="9"/>
  <c r="F22" i="9"/>
  <c r="E68" i="9"/>
  <c r="E69" i="9"/>
  <c r="D79" i="9"/>
  <c r="J9" i="8"/>
  <c r="G9" i="8"/>
  <c r="N9" i="8"/>
  <c r="M9" i="8"/>
  <c r="F76" i="9"/>
  <c r="E66" i="9"/>
  <c r="E41" i="9"/>
  <c r="C55" i="9"/>
  <c r="E39" i="9"/>
  <c r="E14" i="9"/>
  <c r="D68" i="9"/>
  <c r="F33" i="3"/>
  <c r="D33" i="3"/>
  <c r="F68" i="9"/>
  <c r="F41" i="9"/>
  <c r="E82" i="9"/>
  <c r="E12" i="9"/>
  <c r="C23" i="4"/>
  <c r="E8" i="4"/>
  <c r="C45" i="3"/>
  <c r="C46" i="3" s="1"/>
  <c r="H5" i="3"/>
  <c r="H6" i="3" s="1"/>
  <c r="C52" i="3"/>
  <c r="C24" i="4"/>
  <c r="N12" i="8"/>
  <c r="M12" i="8"/>
  <c r="J12" i="8"/>
  <c r="G12" i="8"/>
  <c r="F71" i="9"/>
  <c r="F44" i="9"/>
  <c r="F17" i="9"/>
  <c r="E71" i="9"/>
  <c r="E44" i="9"/>
  <c r="E17" i="9"/>
  <c r="N14" i="8"/>
  <c r="D71" i="9"/>
  <c r="D44" i="9"/>
  <c r="D17" i="9"/>
  <c r="M14" i="8"/>
  <c r="B31" i="4" s="1"/>
  <c r="C71" i="9"/>
  <c r="C44" i="9"/>
  <c r="C17" i="9"/>
  <c r="J14" i="8"/>
  <c r="G14" i="8"/>
  <c r="E79" i="9"/>
  <c r="C52" i="9"/>
  <c r="D25" i="9"/>
  <c r="C79" i="9"/>
  <c r="B52" i="9"/>
  <c r="J19" i="8"/>
  <c r="G19" i="8"/>
  <c r="N19" i="8"/>
  <c r="M19" i="8"/>
  <c r="M11" i="8"/>
  <c r="J11" i="8"/>
  <c r="G11" i="8"/>
  <c r="N11" i="8"/>
  <c r="B49" i="9"/>
  <c r="F52" i="9"/>
  <c r="E52" i="9"/>
  <c r="C78" i="9"/>
  <c r="C28" i="9"/>
  <c r="F79" i="9"/>
  <c r="E42" i="9"/>
  <c r="D69" i="9"/>
  <c r="B79" i="9"/>
  <c r="D66" i="9"/>
  <c r="C76" i="9"/>
  <c r="C51" i="9"/>
  <c r="B72" i="9"/>
  <c r="B45" i="9"/>
  <c r="B18" i="9"/>
  <c r="N15" i="8"/>
  <c r="D50" i="8" s="1"/>
  <c r="M15" i="8"/>
  <c r="J15" i="8"/>
  <c r="G15" i="8"/>
  <c r="B41" i="9"/>
  <c r="F42" i="9"/>
  <c r="E25" i="9"/>
  <c r="C42" i="9"/>
  <c r="B25" i="9"/>
  <c r="F66" i="9"/>
  <c r="F39" i="9"/>
  <c r="F14" i="9"/>
  <c r="E55" i="9"/>
  <c r="D39" i="9"/>
  <c r="D14" i="9"/>
  <c r="C49" i="9"/>
  <c r="C24" i="9"/>
  <c r="F69" i="9"/>
  <c r="B71" i="9"/>
  <c r="F30" i="3"/>
  <c r="B39" i="9"/>
  <c r="E15" i="9"/>
  <c r="D52" i="9"/>
  <c r="B69" i="9"/>
  <c r="C72" i="9"/>
  <c r="C22" i="9"/>
  <c r="B76" i="9"/>
  <c r="D31" i="3"/>
  <c r="C31" i="3"/>
  <c r="D30" i="3"/>
  <c r="D8" i="4"/>
  <c r="B57" i="7"/>
  <c r="D54" i="7"/>
  <c r="C54" i="7"/>
  <c r="G5" i="3"/>
  <c r="D10" i="4"/>
  <c r="F5" i="3"/>
  <c r="F6" i="3"/>
  <c r="D9" i="4"/>
  <c r="D15" i="9"/>
  <c r="B44" i="9"/>
  <c r="B82" i="9"/>
  <c r="B55" i="9"/>
  <c r="B28" i="9"/>
  <c r="N25" i="8"/>
  <c r="M25" i="8"/>
  <c r="J25" i="8"/>
  <c r="G25" i="8"/>
  <c r="F12" i="9"/>
  <c r="E78" i="9"/>
  <c r="N23" i="8"/>
  <c r="M23" i="8"/>
  <c r="J23" i="8"/>
  <c r="G23" i="8"/>
  <c r="D82" i="9"/>
  <c r="D12" i="9"/>
  <c r="B26" i="9"/>
  <c r="F25" i="9"/>
  <c r="J18" i="8"/>
  <c r="F75" i="9"/>
  <c r="F48" i="9"/>
  <c r="F21" i="9"/>
  <c r="G18" i="8"/>
  <c r="E75" i="9"/>
  <c r="E48" i="9"/>
  <c r="E21" i="9"/>
  <c r="D75" i="9"/>
  <c r="D48" i="9"/>
  <c r="D21" i="9"/>
  <c r="C75" i="9"/>
  <c r="C48" i="9"/>
  <c r="C21" i="9"/>
  <c r="B75" i="9"/>
  <c r="B48" i="9"/>
  <c r="B21" i="9"/>
  <c r="N18" i="8"/>
  <c r="M18" i="8"/>
  <c r="D42" i="9"/>
  <c r="B17" i="9"/>
  <c r="F55" i="9"/>
  <c r="E76" i="9"/>
  <c r="E51" i="9"/>
  <c r="E26" i="9"/>
  <c r="N13" i="8"/>
  <c r="M13" i="8"/>
  <c r="J13" i="8"/>
  <c r="G13" i="8"/>
  <c r="D80" i="9"/>
  <c r="D55" i="9"/>
  <c r="C70" i="9"/>
  <c r="C45" i="9"/>
  <c r="B66" i="9"/>
  <c r="E31" i="3"/>
  <c r="C30" i="3"/>
  <c r="F32" i="3"/>
  <c r="F82" i="9"/>
  <c r="J8" i="8"/>
  <c r="E31" i="8" s="1"/>
  <c r="F65" i="9"/>
  <c r="F38" i="9"/>
  <c r="F11" i="9"/>
  <c r="G8" i="8"/>
  <c r="E65" i="9"/>
  <c r="E38" i="9"/>
  <c r="E11" i="9"/>
  <c r="D65" i="9"/>
  <c r="D38" i="9"/>
  <c r="D11" i="9"/>
  <c r="C65" i="9"/>
  <c r="C38" i="9"/>
  <c r="C11" i="9"/>
  <c r="B65" i="9"/>
  <c r="B38" i="9"/>
  <c r="B11" i="9"/>
  <c r="N8" i="8"/>
  <c r="D47" i="8" s="1"/>
  <c r="M8" i="8"/>
  <c r="D31" i="4" s="1"/>
  <c r="N22" i="8"/>
  <c r="M22" i="8"/>
  <c r="C33" i="4" s="1"/>
  <c r="J22" i="8"/>
  <c r="G22" i="8"/>
  <c r="D78" i="9"/>
  <c r="F81" i="9"/>
  <c r="F54" i="9"/>
  <c r="F27" i="9"/>
  <c r="E81" i="9"/>
  <c r="E54" i="9"/>
  <c r="E27" i="9"/>
  <c r="N24" i="8"/>
  <c r="D81" i="9"/>
  <c r="D54" i="9"/>
  <c r="D27" i="9"/>
  <c r="M24" i="8"/>
  <c r="C32" i="4" s="1"/>
  <c r="C81" i="9"/>
  <c r="C54" i="9"/>
  <c r="C27" i="9"/>
  <c r="J24" i="8"/>
  <c r="G24" i="8"/>
  <c r="C68" i="9"/>
  <c r="C18" i="9"/>
  <c r="B78" i="9"/>
  <c r="E33" i="8"/>
  <c r="E32" i="8"/>
  <c r="E32" i="3"/>
  <c r="E30" i="3"/>
  <c r="B70" i="9"/>
  <c r="B80" i="9"/>
  <c r="F72" i="9"/>
  <c r="F9" i="3" l="1"/>
  <c r="H9" i="3"/>
  <c r="E31" i="4"/>
  <c r="B32" i="4"/>
  <c r="D48" i="8"/>
  <c r="D32" i="4"/>
  <c r="D49" i="8"/>
  <c r="E32" i="4"/>
  <c r="B33" i="4"/>
  <c r="D51" i="8"/>
  <c r="D33" i="4"/>
  <c r="D88" i="9"/>
  <c r="E33" i="4"/>
  <c r="D91" i="9"/>
  <c r="C31" i="4"/>
  <c r="E30" i="8"/>
</calcChain>
</file>

<file path=xl/sharedStrings.xml><?xml version="1.0" encoding="utf-8"?>
<sst xmlns="http://schemas.openxmlformats.org/spreadsheetml/2006/main" count="715" uniqueCount="498">
  <si>
    <t>🛡️ CyberSecurity Self-Assessment Tool</t>
  </si>
  <si>
    <t>Basierend auf NIST Cybersecurity Framework 2.0 — für Schweizer KMU
Entwickelt auf Grundlage der Master Thesis von Simon Wälti (BFH, 2024). Community-getrieben weiterentwickelt.</t>
  </si>
  <si>
    <t>So funktioniert dieses Tool:</t>
  </si>
  <si>
    <t>1. Unternehmensdaten</t>
  </si>
  <si>
    <t>Tragen Sie im Tab «Unternehmensdaten» Ihre Finanzdaten ein (gelb markierte Felder). Das Tool berechnet automatisch die finanziellen Auswirkungen eines möglichen Cyberangriffs.</t>
  </si>
  <si>
    <t>2. NIST CSF Bewertung</t>
  </si>
  <si>
    <t>Im Tab «Bewertung» beantworten Sie für jede der 22 Kategorien des NIST CSF 2.0, wo Sie heute stehen (IST) und wo Sie hin möchten (SOLL). Nutzen Sie die Dropdown-Auswahl von 0 bis 4.</t>
  </si>
  <si>
    <t>3. Gefährdungsanalyse</t>
  </si>
  <si>
    <t>Im Tab «Gefährdung» bewerten Sie Ihre Verwundbarkeit und Bedrohungslage anhand konkreter, verständlicher Fragen.</t>
  </si>
  <si>
    <t>4. Dashboard ansehen</t>
  </si>
  <si>
    <t>Im Tab «Dashboard» sehen Sie Ihr Gesamtergebnis grafisch aufbereitet: Wo stehen Sie? Wo liegen die grössten Lücken? Was kostet Nichtstun?</t>
  </si>
  <si>
    <t>5. Massnahmen planen</t>
  </si>
  <si>
    <t>Im Tab «Empfehlungen» finden Sie für jede Lücke dynamische Handlungsempfehlungen mit Priorität, Quick-Win-Analyse und Effizienz-Score. Im Tab «Massnahmenplan» tragen Sie Ihre konkrete Strategie (Eliminieren/Vermindern/Mitigieren/Tragen), Zeitrahmen und Kosten ein.</t>
  </si>
  <si>
    <t>6. Roadmap nutzen</t>
  </si>
  <si>
    <t>Im Tab «Roadmap» sehen Sie automatisch generierte Umsetzungsphasen: Quick Wins (0-3 Mte), Wichtige Massnahmen (3-6 Mte) und Langfristige Investitionen (6-12 Mte). Tragen Sie Verantwortliche und Zieldaten ein.</t>
  </si>
  <si>
    <t>7. Executive Summary drucken</t>
  </si>
  <si>
    <t>Im Tab «Executive Summary» finden Sie eine druckfertige A4-Zusammenfassung für die Geschäftsleitung: Ampel-Status, Finanzen, Top-3-Quick-Wins und nächste Schritte. Direkt als PDF exportieren.</t>
  </si>
  <si>
    <t>Farbcodierung:</t>
  </si>
  <si>
    <t>Blau = Eingabefelder (hier tragen Sie Ihre Werte ein)</t>
  </si>
  <si>
    <t>Weiss/Grau = Berechnete Felder (nicht verändern)</t>
  </si>
  <si>
    <t>Hinweis: Dieses Tool dient als Orientierungshilfe. Für eine umfassende Sicherheitsanalyse empfehlen wir die Zusammenarbeit mit einem Cybersecurity-Experten.</t>
  </si>
  <si>
    <t>Grundlage &amp; Quellen</t>
  </si>
  <si>
    <t>Dieses Tool basiert auf der Master Thesis von Simon Wälti:</t>
  </si>
  <si>
    <t>«Cybersecurity-Self-Assessment für Gesundheitsorganisationen»</t>
  </si>
  <si>
    <t>MAS Leadership in Innovation &amp; Technology, Berner Fachhochschule (BFH), 2024</t>
  </si>
  <si>
    <t>Ausgezeichnet mit dem BFH Alumni Preis.</t>
  </si>
  <si>
    <t>Das Konzept basiert auf vier Säulen:</t>
  </si>
  <si>
    <t>1. Finanzen — Was kostet ein Cyberangriff?</t>
  </si>
  <si>
    <t>2. Security-Level — Wo stehen wir heute? Wo wollen wir hin? (NIST CSF 2.0)</t>
  </si>
  <si>
    <t>3. Gefährdung — Wie verwundbar sind wir? Wie stark sind die Bedrohungen?</t>
  </si>
  <si>
    <t>4. Enhance — Was können wir verbessern? Welche Massnahmen sind sinnvoll?</t>
  </si>
  <si>
    <t>Gefährdungsindex nach: Himmel (2015), BSI-Standard 200-2, Sowa (2017)</t>
  </si>
  <si>
    <t>NIST CSF 2.0: National Institute of Standards and Technology (2024)</t>
  </si>
  <si>
    <t>Lizenz: CC BY-NC-SA 4.0 — Verwenden, teilen und anpassen erlaubt. Urheber nennen, gleiche Lizenz verwenden, nicht kommerziell nutzen.</t>
  </si>
  <si>
    <t>Unternehmensdaten &amp; Finanzielle Auswirkungen</t>
  </si>
  <si>
    <t>Bitte füllen Sie die blau markierten Felder aus</t>
  </si>
  <si>
    <t>Allgemeine Angaben</t>
  </si>
  <si>
    <t>Firmenname:</t>
  </si>
  <si>
    <t>Branche:</t>
  </si>
  <si>
    <t>Anzahl Mitarbeitende:</t>
  </si>
  <si>
    <t>Bewertungsdatum:</t>
  </si>
  <si>
    <t>Bewertet durch:</t>
  </si>
  <si>
    <t>Finanzdaten (CHF)</t>
  </si>
  <si>
    <t>Jahresumsatz:</t>
  </si>
  <si>
    <t>zB aus Geschäftsbericht eintragen</t>
  </si>
  <si>
    <t>Jahresaufwand (Betriebskosten):</t>
  </si>
  <si>
    <t>Jahresgewinn (aus Geschäftsbericht):</t>
  </si>
  <si>
    <t>Aktuelle Ausgaben für Cybersecurity / Jahr:</t>
  </si>
  <si>
    <t>Geschätzte Ausfallzeit bei Cyberangriff (Tage):</t>
  </si>
  <si>
    <t>Geschätzte Lösegeldforderung in Prozent:</t>
  </si>
  <si>
    <t>Vorgabe 4.2% (Wälti 2024, Kap. 5.5.1) — anpassbar</t>
  </si>
  <si>
    <t>Ausgaben für Cybersecurity-Massnahmen in Prozent (Benchmark):</t>
  </si>
  <si>
    <t>Berechnete Risikoauswirkungen</t>
  </si>
  <si>
    <t>Kennzahl</t>
  </si>
  <si>
    <t>Betrag (CHF)</t>
  </si>
  <si>
    <t>Erklärung</t>
  </si>
  <si>
    <t>Entgangene Einnahmen bei Cyberangriff</t>
  </si>
  <si>
    <t>Umsatz/365 × Ausfalltage (Formel nach E. Dinkel, CISO USZ)</t>
  </si>
  <si>
    <t>Mögliche Lösegeldforderung</t>
  </si>
  <si>
    <t>Gewinn × Lösegeld-% (anpassbar in Zeile 18)</t>
  </si>
  <si>
    <t>Wiederherstellungskosten (IT, Forensik, PR)</t>
  </si>
  <si>
    <t>IT-Forensik, Neuaufbau, ext. Spezialisten (1% Umsatz + 50K Basis)</t>
  </si>
  <si>
    <t>TOTAL geschätzter Schaden bei Cyberangriff</t>
  </si>
  <si>
    <t>Ohne Reputationsschaden (separat ausgewiesen)</t>
  </si>
  <si>
    <t>Zusätzlich: Reputationsschaden (geschätzt, nicht in Summe):</t>
  </si>
  <si>
    <t>ca. 3% Umsatzrückgang im Folgejahr — schwer bezifferbar, daher separat</t>
  </si>
  <si>
    <t>Cybersecurity-Investitionsanalyse</t>
  </si>
  <si>
    <t>Anteil Cybersecurity am Aufwand:</t>
  </si>
  <si>
    <t>Benchmark: Empfohlener Anteil IT-Security am Aufwand:</t>
  </si>
  <si>
    <t>5-10%</t>
  </si>
  <si>
    <t>Branchenübliche Empfehlung für KMU (zum Vergleich)</t>
  </si>
  <si>
    <t>Jahre bis Kosten &gt; Schaden (bei aktuellen Ausgaben):</t>
  </si>
  <si>
    <t>Empfohlenes jährliches Cybersecurity-Budget:</t>
  </si>
  <si>
    <t>Schadenspotenzial × Budget-% (anpassbar in Zeile 19)</t>
  </si>
  <si>
    <t>Quellen:</t>
  </si>
  <si>
    <t>Berechnungsformeln nach: Wälti, S. (2024). Cybersecurity-Self-Assessment. MAS Thesis, BFH.</t>
  </si>
  <si>
    <t>Lösegeldforderung: Checkpoint Research (2022), Conti-Daten. Staffelung nach Wälti (2024), Kap. 5.5.1.</t>
  </si>
  <si>
    <t>Ausfall-Kostenformel: E. Dinkel, CISO Universitätsspital Zürich (2024).</t>
  </si>
  <si>
    <t>Budget-Empfehlung: P. Gamper, in Wälti (2024), Kap. 5.7.1.</t>
  </si>
  <si>
    <t>CYBERSECURITY DASHBOARD</t>
  </si>
  <si>
    <t>Übersicht - Wo stehen wir? Was müssen wir tun?</t>
  </si>
  <si>
    <t>GESAMT-MATURITÄT</t>
  </si>
  <si>
    <t>SCHADENSPOTENZIAL</t>
  </si>
  <si>
    <t>GEFÄHRDUNGSINDEX</t>
  </si>
  <si>
    <t>BUDGET-DECKUNG</t>
  </si>
  <si>
    <t xml:space="preserve"> / 4.0</t>
  </si>
  <si>
    <t>NIST CSF 2.0 — STATUS NACH FUNKTION</t>
  </si>
  <si>
    <t>Funktion</t>
  </si>
  <si>
    <t>IST Ø</t>
  </si>
  <si>
    <t>SOLL Ø</t>
  </si>
  <si>
    <t>Gap Ø</t>
  </si>
  <si>
    <t>Ampel</t>
  </si>
  <si>
    <t>Grösste Lücke</t>
  </si>
  <si>
    <t>Dringendste Massnahme</t>
  </si>
  <si>
    <t>🏛️ Govern</t>
  </si>
  <si>
    <t>🔍 Identify</t>
  </si>
  <si>
    <t>🔒 Protect</t>
  </si>
  <si>
    <t>👁️ Detect</t>
  </si>
  <si>
    <t>⚡ Respond</t>
  </si>
  <si>
    <t>🔄 Recover</t>
  </si>
  <si>
    <t>GESAMTBEWERTUNG</t>
  </si>
  <si>
    <t>IST</t>
  </si>
  <si>
    <t>SOLL</t>
  </si>
  <si>
    <t>Gap</t>
  </si>
  <si>
    <t>Govern</t>
  </si>
  <si>
    <t>Identify</t>
  </si>
  <si>
    <t>Protect</t>
  </si>
  <si>
    <t>Detect</t>
  </si>
  <si>
    <t>Respond</t>
  </si>
  <si>
    <t>Recover</t>
  </si>
  <si>
    <t>RISIKO-HEATMAP — GAP × WIRKUNG</t>
  </si>
  <si>
    <t>Wo sind die grössten Lücken mit der höchsten Auswirkung?</t>
  </si>
  <si>
    <t>Wirkung Tief</t>
  </si>
  <si>
    <t>Wirkung Mittel</t>
  </si>
  <si>
    <t>Wirkung Hoch</t>
  </si>
  <si>
    <t>Wirkung Sehr hoch</t>
  </si>
  <si>
    <t>Gap = 0</t>
  </si>
  <si>
    <t>Gap = 1</t>
  </si>
  <si>
    <t>Gap = 2</t>
  </si>
  <si>
    <t>Gap &gt;= 3</t>
  </si>
  <si>
    <t>Legende:</t>
  </si>
  <si>
    <t>Sehr tief</t>
  </si>
  <si>
    <t>Tiefes Risiko</t>
  </si>
  <si>
    <t>Mittleres Risiko</t>
  </si>
  <si>
    <t>Hohes Risiko</t>
  </si>
  <si>
    <t>Kritisches Risiko</t>
  </si>
  <si>
    <t>GEFÄHRDUNG IM DETAIL</t>
  </si>
  <si>
    <t>Verwundbarkeit (intern):</t>
  </si>
  <si>
    <t>Wie gut sind Ihre Systeme, Prozesse und Mitarbeitende geschützt?</t>
  </si>
  <si>
    <t>Bedrohungslage (extern):</t>
  </si>
  <si>
    <t>Wie stark ist Ihre Branche/Grösse Angriffen ausgesetzt?</t>
  </si>
  <si>
    <t>FINANZIELLE PERSPEKTIVE</t>
  </si>
  <si>
    <t>Einordnung</t>
  </si>
  <si>
    <t>🔴 Möglicher Gesamtschaden</t>
  </si>
  <si>
    <t>Bei einem erfolgreichen Cyberangriff</t>
  </si>
  <si>
    <t>🔵 Aktuelle Security-Ausgaben/Jahr</t>
  </si>
  <si>
    <t>Ihr aktuelles Budget</t>
  </si>
  <si>
    <t>🟢 Empfohlenes Budget/Jahr</t>
  </si>
  <si>
    <t>Branchenempfehlung für KMU</t>
  </si>
  <si>
    <t>📊 Budget-Lücke/Jahr</t>
  </si>
  <si>
    <t>Differenz zum empfohlenen Budget</t>
  </si>
  <si>
    <t>⏱️ Jahre bis Kosten = Schaden</t>
  </si>
  <si>
    <t>Bei aktuellen Ausgaben</t>
  </si>
  <si>
    <t>CHF</t>
  </si>
  <si>
    <t>Möglicher Schaden</t>
  </si>
  <si>
    <t>Aktuelles Budget</t>
  </si>
  <si>
    <t>Empfohlenes Budget</t>
  </si>
  <si>
    <t>📋 NÄCHSTE SCHRITTE</t>
  </si>
  <si>
    <t>1️⃣  Gehen Sie zum Tab «Bewertung» und füllen Sie IST- und SOLL-Werte aus (Dropdown-Auswahl)</t>
  </si>
  <si>
    <t>2️⃣  Prüfen Sie im Tab «Gefährdung» Ihre Verwundbarkeit und Bedrohungslage</t>
  </si>
  <si>
    <t>3️⃣  Schauen Sie im Tab «Empfehlungen» die dynamisch priorisierten Massnahmen an</t>
  </si>
  <si>
    <t>4️⃣  Definieren Sie im Tab «Massnahmenplan» Ihre Strategie: Eliminieren | Vermindern | Mitigieren | Tragen</t>
  </si>
  <si>
    <t>5️⃣  Besprechen Sie die Ergebnisse mit der Geschäftsleitung und setzen Sie Budget-Prioritäten</t>
  </si>
  <si>
    <t>CYBERSECURITY ASSESSMENT</t>
  </si>
  <si>
    <t>Executive Summary — Für die Geschäftsleitung</t>
  </si>
  <si>
    <t>Datum:</t>
  </si>
  <si>
    <t>GESAMTSTATUS</t>
  </si>
  <si>
    <t>Maturität</t>
  </si>
  <si>
    <t>Schadenspot.</t>
  </si>
  <si>
    <t>Gefährdung</t>
  </si>
  <si>
    <t>Budget-Deckung</t>
  </si>
  <si>
    <t>/ 4.0</t>
  </si>
  <si>
    <t>vom Empfohlenen</t>
  </si>
  <si>
    <t>Gefährdung: Kombination aus Verwundbarkeit (intern) und Bedrohungslage (extern).</t>
  </si>
  <si>
    <t>FINANZIELLE AUSWIRKUNG</t>
  </si>
  <si>
    <t>Möglicher Gesamtschaden</t>
  </si>
  <si>
    <t>Aktuelles Security-Budget</t>
  </si>
  <si>
    <t>Budget-Lücke / Jahr</t>
  </si>
  <si>
    <t>Jahre bis Kosten = Schaden</t>
  </si>
  <si>
    <t>TOP-3 EMPFOHLENE SOFORT-MASSNAHMEN</t>
  </si>
  <si>
    <t>Die wirksamsten Quick Wins — tiefer Aufwand, hohe Wirkung</t>
  </si>
  <si>
    <t>ID</t>
  </si>
  <si>
    <t>Kategorie</t>
  </si>
  <si>
    <t>Typ</t>
  </si>
  <si>
    <t>Empfohlene Massnahme</t>
  </si>
  <si>
    <t>EMPFOHLENE NÄCHSTE SCHRITTE</t>
  </si>
  <si>
    <t>1. Quick Wins sofort umsetzen (siehe oben) — erreichbar in 0-3 Monaten</t>
  </si>
  <si>
    <t>2. Budget-Gap mit GL besprechen und Investitionsplan verabschieden</t>
  </si>
  <si>
    <t>3. Roadmap-Tab als Projektplan nutzen — Verantwortliche und Termine eintragen</t>
  </si>
  <si>
    <t>4. Assessment in 6 Monaten wiederholen und Fortschritt messen</t>
  </si>
  <si>
    <t>5. Ergebnisse mit IT-Dienstleister und/oder externem Berater validieren</t>
  </si>
  <si>
    <t>CyberNavigator — cybernavigator.ch</t>
  </si>
  <si>
    <t>CC BY-NC-SA 4.0</t>
  </si>
  <si>
    <t>NIST CSF 2.0 — Self-Assessment</t>
  </si>
  <si>
    <t>Bewerten Sie für jede Kategorie Ihren aktuellen Stand (IST) und Ihren gewünschten Zielzustand (SOLL) auf einer Skala von 0–4.</t>
  </si>
  <si>
    <t>Was bedeutet das?</t>
  </si>
  <si>
    <t>IST-Level</t>
  </si>
  <si>
    <t>SOLL-Level</t>
  </si>
  <si>
    <t>Lücke (Gap)</t>
  </si>
  <si>
    <t>Handlungsbedarf</t>
  </si>
  <si>
    <t>🏛️ GOVERN (GV)</t>
  </si>
  <si>
    <t>GV.OC</t>
  </si>
  <si>
    <t>Organisationskontext
Versteht Ihre Organisation ihren Auftrag und wie Cybersecurity dazu beiträgt?</t>
  </si>
  <si>
    <t>Wir kennen unsere geschäftskritischen Prozesse und wissen, welche IT-Systeme dafür nötig sind.</t>
  </si>
  <si>
    <t>GV.RM</t>
  </si>
  <si>
    <t>Risikomanagement-Strategie
Gibt es eine Strategie, wie mit Cyberrisiken umgegangen wird?</t>
  </si>
  <si>
    <t>Wir haben definiert, wie viel Risiko wir akzeptieren und wie wir Risiken bewerten.</t>
  </si>
  <si>
    <t>GV.SC</t>
  </si>
  <si>
    <t>Lieferketten-Risikomanagement
Werden Cyberrisiken von Lieferanten und Partnern berücksichtigt?</t>
  </si>
  <si>
    <t>Wir prüfen, ob unsere IT-Lieferanten und Cloud-Dienste sicher sind.</t>
  </si>
  <si>
    <t>GV.RR</t>
  </si>
  <si>
    <t>Rollen und Verantwortlichkeiten
Ist klar, wer für Cybersecurity zuständig ist?</t>
  </si>
  <si>
    <t>Es gibt klare Verantwortlichkeiten für IT-Sicherheit im Unternehmen.</t>
  </si>
  <si>
    <t>GV.PO</t>
  </si>
  <si>
    <t>Richtlinien und Prozesse
Existieren Cybersecurity-Richtlinien und werden sie gelebt?</t>
  </si>
  <si>
    <t>Wir haben Passwort-Richtlinien, Nutzungsregeln und Sicherheitsprozesse dokumentiert.</t>
  </si>
  <si>
    <t>GV.OV</t>
  </si>
  <si>
    <t>Überwachung (Governance)
Wird die Cybersecurity-Strategie regelmässig überprüft?</t>
  </si>
  <si>
    <t>Die Geschäftsleitung befasst sich regelmässig mit dem Thema IT-Sicherheit.</t>
  </si>
  <si>
    <t>🔍 IDENTIFY (ID)</t>
  </si>
  <si>
    <t>ID.AM</t>
  </si>
  <si>
    <t>Asset Management
Wissen Sie, welche Geräte, Software und Daten Sie haben?</t>
  </si>
  <si>
    <t>Wir haben ein Inventar aller Computer, Server, Mobilgeräte und Software.</t>
  </si>
  <si>
    <t>ID.RA</t>
  </si>
  <si>
    <t>Risikobewertung
Werden Cyberrisiken systematisch bewertet?</t>
  </si>
  <si>
    <t>Wir analysieren regelmässig, welche Bedrohungen und Schwachstellen bestehen.</t>
  </si>
  <si>
    <t>ID.IM</t>
  </si>
  <si>
    <t>Verbesserung
Werden Lehren aus Vorfällen und Bewertungen gezogen?</t>
  </si>
  <si>
    <t>Nach Vorfällen oder Prüfungen setzen wir Verbesserungsmassnahmen um.</t>
  </si>
  <si>
    <t>🔒 PROTECT (PR)</t>
  </si>
  <si>
    <t>PR.AA</t>
  </si>
  <si>
    <t>Zugriffskontrolle
Werden Zugriffe auf Systeme und Daten kontrolliert?</t>
  </si>
  <si>
    <t>Nur berechtigte Personen haben Zugang zu sensiblen Systemen. Wir nutzen MFA.</t>
  </si>
  <si>
    <t>PR.AT</t>
  </si>
  <si>
    <t>Schulung &amp; Awareness
Werden Mitarbeitende regelmässig geschult?</t>
  </si>
  <si>
    <t>Alle Mitarbeitenden erhalten mindestens jährlich eine Cybersecurity-Schulung.</t>
  </si>
  <si>
    <t>PR.DS</t>
  </si>
  <si>
    <t>Datensicherheit
Werden sensible Daten geschützt (Verschlüsselung, Backup)?</t>
  </si>
  <si>
    <t>Daten werden verschlüsselt gespeichert und übertragen, regelmässige Backups existieren.</t>
  </si>
  <si>
    <t>PR.PS</t>
  </si>
  <si>
    <t>Plattformsicherheit
Werden IT-Systeme sicher konfiguriert und gepatcht?</t>
  </si>
  <si>
    <t>Software-Updates werden zeitnah eingespielt, Systeme sind gehärtet.</t>
  </si>
  <si>
    <t>PR.IR</t>
  </si>
  <si>
    <t>Infrastruktur-Resilienz
Ist die IT-Infrastruktur widerstandsfähig?</t>
  </si>
  <si>
    <t>Wir haben redundante Systeme, Notfallstrom und getestete Wiederherstellung.</t>
  </si>
  <si>
    <t>👁️ DETECT (DE)</t>
  </si>
  <si>
    <t>DE.CM</t>
  </si>
  <si>
    <t>Kontinuierliches Monitoring
Werden IT-Systeme laufend auf Anomalien überwacht?</t>
  </si>
  <si>
    <t>Wir überwachen Netzwerk, Systeme und Logdateien auf verdächtige Aktivitäten.</t>
  </si>
  <si>
    <t>DE.AE</t>
  </si>
  <si>
    <t>Analyse unerwünschter Ereignisse
Werden erkannte Anomalien analysiert und bewertet?</t>
  </si>
  <si>
    <t>Verdächtige Ereignisse werden untersucht und nach Schwere eingestuft.</t>
  </si>
  <si>
    <t>⚡ RESPOND (RS)</t>
  </si>
  <si>
    <t>RS.MA</t>
  </si>
  <si>
    <t>Incident Management
Gibt es einen Prozess für den Umgang mit Sicherheitsvorfällen?</t>
  </si>
  <si>
    <t>Wir haben einen Notfallplan, der definiert, wer was tut bei einem Cyberangriff.</t>
  </si>
  <si>
    <t>RS.AN</t>
  </si>
  <si>
    <t>Incident-Analyse
Werden Sicherheitsvorfälle gründlich analysiert?</t>
  </si>
  <si>
    <t>Vorfälle werden forensisch untersucht, um Ursache und Ausmass zu verstehen.</t>
  </si>
  <si>
    <t>RS.CO</t>
  </si>
  <si>
    <t>Kommunikation bei Vorfällen
Ist geregelt, wer bei einem Vorfall wie informiert wird?</t>
  </si>
  <si>
    <t>Kommunikationswege an Behörden, Kunden und intern sind definiert.</t>
  </si>
  <si>
    <t>RS.MI</t>
  </si>
  <si>
    <t>Schadensbegrenzung
Können Schäden bei einem Vorfall schnell begrenzt werden?</t>
  </si>
  <si>
    <t>Wir können betroffene Systeme isolieren und den Angriff eindämmen.</t>
  </si>
  <si>
    <t>🔄 RECOVER (RC)</t>
  </si>
  <si>
    <t>RC.RP</t>
  </si>
  <si>
    <t>Wiederherstellungsplanung
Gibt es einen Plan zur Wiederherstellung nach einem Vorfall?</t>
  </si>
  <si>
    <t>Wir haben getestete Backup- und Recovery-Pläne für alle kritischen Systeme.</t>
  </si>
  <si>
    <t>RC.CO</t>
  </si>
  <si>
    <t>Wiederherstellungs-Kommunikation
Wird während der Wiederherstellung kommuniziert?</t>
  </si>
  <si>
    <t>Stakeholder werden über Fortschritt und Zeithorizont der Wiederherstellung informiert.</t>
  </si>
  <si>
    <t>MATURITÄTSSTUFEN — Skala 0 bis 4</t>
  </si>
  <si>
    <t>Stufe</t>
  </si>
  <si>
    <t>Name</t>
  </si>
  <si>
    <t>Bedeutung</t>
  </si>
  <si>
    <t>0</t>
  </si>
  <si>
    <t>Nicht umgesetzt</t>
  </si>
  <si>
    <t>Kein Bewusstsein, keine Massnahmen</t>
  </si>
  <si>
    <t>1</t>
  </si>
  <si>
    <t>Partiell (nicht definiert)</t>
  </si>
  <si>
    <t>Ad-hoc, reaktiv, kein formaler Prozess</t>
  </si>
  <si>
    <t>2</t>
  </si>
  <si>
    <t>Partiell (definiert &amp; abgenommen)</t>
  </si>
  <si>
    <t>Risikobewusstsein, Ansätze definiert, nicht überall umgesetzt</t>
  </si>
  <si>
    <t>3</t>
  </si>
  <si>
    <t>Umgesetzt (statisch)</t>
  </si>
  <si>
    <t>Formale dokumentierte Prozesse, vollständig umgesetzt</t>
  </si>
  <si>
    <t>4</t>
  </si>
  <si>
    <t>Dynamisch (kont. verbessert)</t>
  </si>
  <si>
    <t>Proaktiv, KPI-gesteuert, kontinuierlich angepasst</t>
  </si>
  <si>
    <t>Tipp: Für die meisten KMU ist Stufe 2-3 ein realistisches Ziel. Setzen Sie SOLL höher, wo Ihre geschäftskritischen Risiken liegen.</t>
  </si>
  <si>
    <t>Ergebnisübersicht — NIST CSF 2.0</t>
  </si>
  <si>
    <t>Zusammenfassung nach Funktion</t>
  </si>
  <si>
    <t>Ø IST</t>
  </si>
  <si>
    <t>Ø SOLL</t>
  </si>
  <si>
    <t>Ø Gap</t>
  </si>
  <si>
    <t>Max. Gap</t>
  </si>
  <si>
    <t>Bewertung</t>
  </si>
  <si>
    <t>🏛️ GOVERN</t>
  </si>
  <si>
    <t>🔍 IDENTIFY</t>
  </si>
  <si>
    <t>🔒 PROTECT</t>
  </si>
  <si>
    <t>👁️ DETECT</t>
  </si>
  <si>
    <t>⚡ RESPOND</t>
  </si>
  <si>
    <t>🔄 RECOVER</t>
  </si>
  <si>
    <t>NIST CSF 2.0 — Radar (IST vs. SOLL)</t>
  </si>
  <si>
    <t>Gap-Analyse nach Funktion</t>
  </si>
  <si>
    <t>Gefährdungsanalyse</t>
  </si>
  <si>
    <t>Bewerten Sie Ihre Verwundbarkeit (wie gut sind Sie geschützt?) und Bedrohungslage (wie stark sind Sie exponiert?). Beide Werte zusammen ergeben den Gefährdungsindex — er zeigt, wie dringend Massnahmen nötig sind.</t>
  </si>
  <si>
    <t>Methodik: Einschätzung 0-10 (0 = unproblematisch, 10 = kritisch) × Gewichtung 1-4 (Relevanz für Ihre Branche) = Score. Der Index normalisiert auf 0-1. Passen Sie die Gewichtung (Spalte D) an Ihre Branche an.</t>
  </si>
  <si>
    <t>Verwundbarkeitsindex</t>
  </si>
  <si>
    <t>Frage</t>
  </si>
  <si>
    <t>Bewertung (0-10)</t>
  </si>
  <si>
    <t>Gewichtung</t>
  </si>
  <si>
    <t>Score</t>
  </si>
  <si>
    <t>Sind alle Geräte (PCs, Laptops, Handys) inventarisiert?</t>
  </si>
  <si>
    <t>0=alle erfasst, 10=kein Überblick</t>
  </si>
  <si>
    <t>Werden Software-Updates zeitnah installiert?</t>
  </si>
  <si>
    <t>0=immer sofort, 10=nie/selten</t>
  </si>
  <si>
    <t>Sind alle Benutzerkonten persönlich und aktiv?</t>
  </si>
  <si>
    <t>0=alle Konten zugeordnet, 10=viele Altlasten</t>
  </si>
  <si>
    <t>Werden Passwort-Richtlinien durchgesetzt?</t>
  </si>
  <si>
    <t>0=starke Richtlinien, 10=keine Vorgaben</t>
  </si>
  <si>
    <t>Ist Multi-Faktor-Authentifizierung (MFA) aktiv?</t>
  </si>
  <si>
    <t>0=überall MFA, 10=nirgends MFA</t>
  </si>
  <si>
    <t>Werden regelmässige Backups erstellt und getestet?</t>
  </si>
  <si>
    <t>0=tägliche getestete Backups, 10=keine Backups</t>
  </si>
  <si>
    <t>Sind sensible Daten verschlüsselt?</t>
  </si>
  <si>
    <t>0=alles verschlüsselt, 10=nichts verschlüsselt</t>
  </si>
  <si>
    <t>Werden Netzwerke segmentiert?</t>
  </si>
  <si>
    <t>0=volle Segmentierung, 10=flaches Netzwerk</t>
  </si>
  <si>
    <t>Gibt es eine Firewall mit aktuellen Regeln?</t>
  </si>
  <si>
    <t>0=optimal konfiguriert, 10=keine Firewall</t>
  </si>
  <si>
    <t>Verwundbarkeitsindex (0-1):</t>
  </si>
  <si>
    <t>Bedrohungsindex</t>
  </si>
  <si>
    <t>Bedrohung</t>
  </si>
  <si>
    <t>Einschätzung (0-10)</t>
  </si>
  <si>
    <t>Phishing / Social Engineering Angriffe</t>
  </si>
  <si>
    <t>0=kein Risiko, 10=sehr hohes Risiko</t>
  </si>
  <si>
    <t>Ransomware / Malware</t>
  </si>
  <si>
    <t>Insider-Bedrohung (Mitarbeitende)</t>
  </si>
  <si>
    <t>Angriffe auf Cloud-Dienste</t>
  </si>
  <si>
    <t>DDoS-Angriffe</t>
  </si>
  <si>
    <t>Supply-Chain-Angriffe (über Lieferanten)</t>
  </si>
  <si>
    <t>Datenverlust / Datendiebstahl</t>
  </si>
  <si>
    <t>Physischer Zugang zu IT-Systemen</t>
  </si>
  <si>
    <t>Bedrohungsindex (0-1):</t>
  </si>
  <si>
    <t>Gesamtgefährdung</t>
  </si>
  <si>
    <t>Verwundbarkeitsindex:</t>
  </si>
  <si>
    <t>Bedrohungsindex:</t>
  </si>
  <si>
    <t>GEFÄHRDUNGSINDEX (Durchschnitt):</t>
  </si>
  <si>
    <t>WAS BEDEUTET DER GEFÄHRDUNGSINDEX?</t>
  </si>
  <si>
    <t>Der Gefährdungsindex kombiniert zwei Perspektiven:</t>
  </si>
  <si>
    <t>Verwundbarkeitsindex = Wie gut sind Ihre Schutzmassnahmen? (interne Sicht)</t>
  </si>
  <si>
    <t>Bedrohungsindex = Wie stark ist Ihre Branche/Organisation exponiert? (externe Sicht)</t>
  </si>
  <si>
    <t>Der Gefährdungsindex ist der Durchschnitt beider Werte (0 = kein Risiko, 1 = maximales Risiko).</t>
  </si>
  <si>
    <t>INTERPRETATION FÜR ENTSCHEIDUNGSTRÄGER</t>
  </si>
  <si>
    <t>Wert</t>
  </si>
  <si>
    <t>Was heisst das für Ihr Unternehmen?</t>
  </si>
  <si>
    <t>Empfohlene Reaktion</t>
  </si>
  <si>
    <t>0.0 – 0.3</t>
  </si>
  <si>
    <t>✅ Tief</t>
  </si>
  <si>
    <t>Grundschutz vorhanden. Bedrohungslage unter Kontrolle. Ein erfolgreicher Angriff ist weniger wahrscheinlich.</t>
  </si>
  <si>
    <t>Regelmässige Überprüfung beibehalten. Fokus auf kontinuierliche Verbesserung.</t>
  </si>
  <si>
    <t>0.3 – 0.5</t>
  </si>
  <si>
    <t>⚠️ Mittel</t>
  </si>
  <si>
    <t>Lücken im Schutz vorhanden. Typisch für KMU, die einzelne Massnahmen umgesetzt haben, aber kein systematisches Vorgehen haben.</t>
  </si>
  <si>
    <t>Gezielte Verbesserungen starten. Quick Wins umsetzen. Budget für Security einplanen.</t>
  </si>
  <si>
    <t>0.5 – 0.7</t>
  </si>
  <si>
    <t>🟠 Erhöht</t>
  </si>
  <si>
    <t>Wesentliche Schutzlücken. Ein Angriff hätte mit hoher Wahrscheinlichkeit Erfolg und würde erheblichen Schaden verursachen.</t>
  </si>
  <si>
    <t>Sofortmassnahmen einleiten. Quick Wins priorisieren. GL muss involviert werden.</t>
  </si>
  <si>
    <t>0.7 – 1.0</t>
  </si>
  <si>
    <t>🔴 Kritisch</t>
  </si>
  <si>
    <t>Schwerwiegende Lücken auf breiter Front. Das Unternehmen ist ein leichtes Ziel. Ein Vorfall ist nur eine Frage der Zeit.</t>
  </si>
  <si>
    <t>Notfall-Modus: Sofort MFA, Backups, Patching. Externes Assessment empfohlen. GL-Entscheid über Investitionen.</t>
  </si>
  <si>
    <t>IHR ERGEBNIS</t>
  </si>
  <si>
    <t>Verwundbarkeit:</t>
  </si>
  <si>
    <t>Bedrohungslage:</t>
  </si>
  <si>
    <t>GEFÄHRDUNGSINDEX:</t>
  </si>
  <si>
    <t>Was bedeutet das konkret?</t>
  </si>
  <si>
    <t>Methodik: Gefährdungsindex nach Himmel (2015) und Sowa (2017), basierend auf BSI-Standard 200-2. Adaptiert in Wälti (2024), Kap. 5.6.</t>
  </si>
  <si>
    <t>Empfehlungen</t>
  </si>
  <si>
    <t>Rot = höchster Handlungsbedarf. Grau = kein Handlungsbedarf.</t>
  </si>
  <si>
    <t>Aufwand</t>
  </si>
  <si>
    <t>Wirkung</t>
  </si>
  <si>
    <t>Priorität</t>
  </si>
  <si>
    <t>Aufwand-Score</t>
  </si>
  <si>
    <t>Wirkung-Score</t>
  </si>
  <si>
    <t>Effizienz</t>
  </si>
  <si>
    <t>Organisationskontext</t>
  </si>
  <si>
    <t>Mittel</t>
  </si>
  <si>
    <t>Hoch</t>
  </si>
  <si>
    <t>Risikomanagement</t>
  </si>
  <si>
    <t>Sehr hoch</t>
  </si>
  <si>
    <t>Lieferketten</t>
  </si>
  <si>
    <t>Tief</t>
  </si>
  <si>
    <t>Rollen &amp; Zuständigkeit</t>
  </si>
  <si>
    <t>Richtlinien</t>
  </si>
  <si>
    <t>Governance</t>
  </si>
  <si>
    <t>Asset Management</t>
  </si>
  <si>
    <t>Risikobewertung</t>
  </si>
  <si>
    <t>Verbesserung</t>
  </si>
  <si>
    <t>Zugriffskontrolle</t>
  </si>
  <si>
    <t>Schulung &amp; Awareness</t>
  </si>
  <si>
    <t>Datensicherheit</t>
  </si>
  <si>
    <t>Plattformsicherheit</t>
  </si>
  <si>
    <t>Infrastruktur-Resilienz</t>
  </si>
  <si>
    <t>Monitoring</t>
  </si>
  <si>
    <t>Ereignisanalyse</t>
  </si>
  <si>
    <t>Incident Management</t>
  </si>
  <si>
    <t>Incident-Analyse</t>
  </si>
  <si>
    <t>Kommunikation</t>
  </si>
  <si>
    <t>Schadensbegrenzung</t>
  </si>
  <si>
    <t>Wiederherstellung</t>
  </si>
  <si>
    <t>Recovery-Kommunikation</t>
  </si>
  <si>
    <t>Zusammenfassung:</t>
  </si>
  <si>
    <t>🔴 SOFORT handeln:</t>
  </si>
  <si>
    <t>Kategorien</t>
  </si>
  <si>
    <t>🟠 Dringend:</t>
  </si>
  <si>
    <t>🟡 Geplant:</t>
  </si>
  <si>
    <t>🟢 OK:</t>
  </si>
  <si>
    <t>🏆 QUICK WINS — Wo anfangen?</t>
  </si>
  <si>
    <t>Sortiert nach Effizienz-Score: hohe Wirkung × tiefer Aufwand × grosse Lücke = zuerst umsetzen</t>
  </si>
  <si>
    <t>CIS IG1 = grundlegende Cyberhygiene | IG2 = erweitert | IG3 = fortgeschritten</t>
  </si>
  <si>
    <t>AUFWAND-WIRKUNG-MATRIX</t>
  </si>
  <si>
    <t>Wirkung Hoch/Sehr hoch</t>
  </si>
  <si>
    <t>Wirkung Tief/Mittel</t>
  </si>
  <si>
    <t>Aufwand Tief/Mittel</t>
  </si>
  <si>
    <t>🏆 Quick Win</t>
  </si>
  <si>
    <t>⚡ Kleine Verbesserung</t>
  </si>
  <si>
    <t>Aufwand Hoch/Sehr hoch</t>
  </si>
  <si>
    <t>📈 Strategisch</t>
  </si>
  <si>
    <t>⚠️ Aufwändig (tief priorisieren)</t>
  </si>
  <si>
    <t>ZUSAMMENFASSUNG</t>
  </si>
  <si>
    <t>🏆 Quick Wins:</t>
  </si>
  <si>
    <t>📈 Strategische Investitionen:</t>
  </si>
  <si>
    <t>⚡ Kleine Verbesserungen:</t>
  </si>
  <si>
    <t>⚠️ Aufwändig (tief priorisieren):</t>
  </si>
  <si>
    <t>✅ Kein Handlungsbedarf:</t>
  </si>
  <si>
    <t>① Aufwand/Wirkung-Scores sind Richtwerte. Für Ihr Unternehmen können diese abweichen.</t>
  </si>
  <si>
    <t>Effizienz-Score = Wirkung × Aufwand(invertiert) × Gap. Je höher, desto mehr Nutzen pro investiertem Franken.</t>
  </si>
  <si>
    <t>UMSETZUNGS-ROADMAP</t>
  </si>
  <si>
    <t>Automatisch generiert aus den Empfehlungen — sortiert nach Effizienz und Typ</t>
  </si>
  <si>
    <t>PHASE 1: QUICK WINS (0–3 Monate)</t>
  </si>
  <si>
    <t>Tiefer Aufwand, hohe Wirkung — sofort starten</t>
  </si>
  <si>
    <t>Massnahme</t>
  </si>
  <si>
    <t>Verantwortlich</t>
  </si>
  <si>
    <t>Zieldatum</t>
  </si>
  <si>
    <t>Status</t>
  </si>
  <si>
    <t>PHASE 2: WICHTIGE MASSNAHMEN (3–6 Monate)</t>
  </si>
  <si>
    <t>Mittlerer Aufwand, strukturierte Umsetzung</t>
  </si>
  <si>
    <t>PHASE 3: LANGFRISTIGE INVESTITIONEN (6–12 Monate)</t>
  </si>
  <si>
    <t>Hoher Aufwand, langfristiger Nutzen</t>
  </si>
  <si>
    <t>Quick Wins (Phase 1):</t>
  </si>
  <si>
    <t>Massnahmen</t>
  </si>
  <si>
    <t>Wichtige Massnahmen (Phase 2):</t>
  </si>
  <si>
    <t>Langfristige Investitionen (Phase 3):</t>
  </si>
  <si>
    <t>Kein Handlungsbedarf:</t>
  </si>
  <si>
    <t>Massnahmenplan — Risikobewältigung</t>
  </si>
  <si>
    <t>Definieren Sie für jede Lücke, wie Sie das Risiko behandeln möchten.</t>
  </si>
  <si>
    <t>Strategie</t>
  </si>
  <si>
    <t>Geplanter Start</t>
  </si>
  <si>
    <t>Geplantes Ende</t>
  </si>
  <si>
    <t>Geschätzte Kosten</t>
  </si>
  <si>
    <t>Bemerkungen</t>
  </si>
  <si>
    <t>Noch offen</t>
  </si>
  <si>
    <t>Risikomanagement-Strategie</t>
  </si>
  <si>
    <t>Lieferketten-Risikomanagement</t>
  </si>
  <si>
    <t>Rollen und Verantwortlichkeiten</t>
  </si>
  <si>
    <t>Richtlinien und Prozesse</t>
  </si>
  <si>
    <t>Überwachung (Governance)</t>
  </si>
  <si>
    <t>Kontinuierliches Monitoring</t>
  </si>
  <si>
    <t>Analyse unerwünschter Ereignisse</t>
  </si>
  <si>
    <t>Kommunikation bei Vorfällen</t>
  </si>
  <si>
    <t>Wiederherstellungsplanung</t>
  </si>
  <si>
    <t>Wiederherstellungs-Kommunikation</t>
  </si>
  <si>
    <t>TOTAL geschätzte Kosten:</t>
  </si>
  <si>
    <t>Zusammenfassung Strategien:</t>
  </si>
  <si>
    <t>Eliminieren:</t>
  </si>
  <si>
    <t>Vermindern:</t>
  </si>
  <si>
    <t>Mitigieren:</t>
  </si>
  <si>
    <t>Tragen:</t>
  </si>
  <si>
    <t>Noch offen:</t>
  </si>
  <si>
    <t>STRATEGIEN — Erklärung</t>
  </si>
  <si>
    <t>🚫 Eliminieren</t>
  </si>
  <si>
    <t>Risiko vollständig beseitigen: z.B. unsicheres Altsystem abschalten, Service einstellen, Asset entfernen. «Das Risiko existiert danach nicht mehr.»</t>
  </si>
  <si>
    <t>📉 Vermindern</t>
  </si>
  <si>
    <t>Wahrscheinlichkeit ODER Auswirkung reduzieren: z.B. MFA, Patches, Schulung, zusätzliche Kontrollen. «Risiko bleibt, ist aber kleiner.»</t>
  </si>
  <si>
    <t>🛡️ Mitigieren</t>
  </si>
  <si>
    <t>Auswirkungen begrenzen, wenn das Risiko eintritt: z.B. Cyber-Versicherung, Backup-Strategie, Incident-Response-Plan. «Risiko bleibt, Folgen sind aber abgefedert.»</t>
  </si>
  <si>
    <t>✅ Tragen</t>
  </si>
  <si>
    <t>Restrisiko bewusst akzeptieren: z.B. weil Massnahmenkosten höher wären als der Schaden. Muss dokumentiert und von GL genehmigt sein!</t>
  </si>
  <si>
    <t>ANLEITUNG</t>
  </si>
  <si>
    <t>1. Die Tabelle wird automatisch aus dem Tab «Bewertung» befüllt (ID, Kategorie, IST/SOLL, Gap).</t>
  </si>
  <si>
    <t>2. Wählen Sie pro Kategorie eine Strategie (Spalte G) aus dem Dropdown — siehe Erklärung oben.</t>
  </si>
  <si>
    <t>3. Tragen Sie Start- und Endtermin (Spalten H, I) sowie die geschätzten Kosten (Spalte J) ein.</t>
  </si>
  <si>
    <t>4. Nutzen Sie die Spalte «Bemerkungen» (K) für Details, Verantwortliche oder offene Fragen.</t>
  </si>
  <si>
    <t>5. Die Gesamtkosten werden automatisch summiert (Zeile 29), die Strategien gezählt (Zeilen 31-36).</t>
  </si>
  <si>
    <t>→ Tipp: Beginnen Sie mit den im Tab «Empfehlungen» als 🏆 Quick Win markierten Kategorien.</t>
  </si>
  <si>
    <t>Tier</t>
  </si>
  <si>
    <t>Punkte</t>
  </si>
  <si>
    <t>0 - Nicht umgesetzt</t>
  </si>
  <si>
    <t>1 - Partiell (nicht definiert)</t>
  </si>
  <si>
    <t>2 - Partiell (definiert &amp; abgenommen)</t>
  </si>
  <si>
    <t>3 - Umgesetzt (statisch)</t>
  </si>
  <si>
    <t>4 - Dynamisch (kont. verbessert)</t>
  </si>
  <si>
    <t>Quelle: Wälti, S. (2024), nach IKT-Minimalstandard (BWL,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</si>
</sst>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0.0%"/>
    <numFmt numFmtId="166" formatCode="0.0"/>
    <numFmt numFmtId="167" formatCode="#,##0&quot; CHF&quot;"/>
  </numFmts>
  <fonts count="96" x14ac:knownFonts="1">
    <font>
      <sz val="11"/>
      <color theme="1"/>
      <name val="Calibri"/>
      <family val="2"/>
      <charset val="1"/>
    </font>
    <font>
      <b/>
      <sz val="20"/>
      <color rgb="FF1B2A4A"/>
      <name val="Calibri"/>
      <family val="2"/>
      <charset val="1"/>
    </font>
    <font>
      <sz val="12"/>
      <color rgb="FF2E5090"/>
      <name val="Calibri"/>
      <family val="2"/>
      <charset val="1"/>
    </font>
    <font>
      <b/>
      <sz val="12"/>
      <color rgb="FF2E5090"/>
      <name val="Calibri"/>
      <family val="2"/>
      <charset val="1"/>
    </font>
    <font>
      <b/>
      <sz val="11"/>
      <color rgb="FF4472C4"/>
      <name val="Calibri"/>
      <family val="2"/>
      <charset val="1"/>
    </font>
    <font>
      <sz val="10"/>
      <name val="Calibri"/>
      <family val="2"/>
      <charset val="1"/>
    </font>
    <font>
      <b/>
      <sz val="10"/>
      <color rgb="FF1B2A4A"/>
      <name val="Calibri"/>
      <family val="2"/>
      <charset val="1"/>
    </font>
    <font>
      <sz val="10"/>
      <color rgb="FF0000FF"/>
      <name val="Calibri"/>
      <family val="2"/>
      <charset val="1"/>
    </font>
    <font>
      <i/>
      <sz val="10"/>
      <color rgb="FF808080"/>
      <name val="Calibri"/>
      <family val="2"/>
      <charset val="1"/>
    </font>
    <font>
      <b/>
      <sz val="12"/>
      <color rgb="FF1B2A4A"/>
      <name val="Calibri"/>
      <family val="2"/>
      <charset val="1"/>
    </font>
    <font>
      <i/>
      <sz val="10"/>
      <name val="Calibri"/>
      <family val="2"/>
      <charset val="1"/>
    </font>
    <font>
      <i/>
      <sz val="9"/>
      <color rgb="FF808080"/>
      <name val="Calibri"/>
      <family val="2"/>
      <charset val="1"/>
    </font>
    <font>
      <sz val="9"/>
      <color rgb="FF808080"/>
      <name val="Calibri"/>
      <family val="2"/>
      <charset val="1"/>
    </font>
    <font>
      <b/>
      <sz val="16"/>
      <color rgb="FF1B2A4A"/>
      <name val="Calibri"/>
      <family val="2"/>
      <charset val="1"/>
    </font>
    <font>
      <b/>
      <sz val="10"/>
      <name val="Calibri"/>
      <family val="2"/>
      <charset val="1"/>
    </font>
    <font>
      <i/>
      <sz val="9"/>
      <color rgb="FF666666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0"/>
      <color rgb="FF2E5090"/>
      <name val="Calibri"/>
      <family val="2"/>
      <charset val="1"/>
    </font>
    <font>
      <b/>
      <sz val="10"/>
      <color rgb="FF70AD47"/>
      <name val="Calibri"/>
      <family val="2"/>
      <charset val="1"/>
    </font>
    <font>
      <b/>
      <sz val="10"/>
      <color rgb="FFC00000"/>
      <name val="Calibri"/>
      <family val="2"/>
      <charset val="1"/>
    </font>
    <font>
      <b/>
      <sz val="11"/>
      <color rgb="FF70AD47"/>
      <name val="Calibri"/>
      <family val="2"/>
      <charset val="1"/>
    </font>
    <font>
      <b/>
      <sz val="11"/>
      <name val="Calibri"/>
      <family val="2"/>
      <charset val="1"/>
    </font>
    <font>
      <sz val="9"/>
      <color rgb="FF666666"/>
      <name val="Calibri"/>
      <family val="2"/>
      <charset val="1"/>
    </font>
    <font>
      <i/>
      <sz val="8"/>
      <color rgb="FF808080"/>
      <name val="Calibri"/>
      <family val="2"/>
      <charset val="1"/>
    </font>
    <font>
      <b/>
      <sz val="18"/>
      <color rgb="FFFFFFFF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9"/>
      <color rgb="FFFFFFFF"/>
      <name val="Calibri"/>
      <family val="2"/>
      <charset val="1"/>
    </font>
    <font>
      <b/>
      <sz val="28"/>
      <color rgb="FF2E5090"/>
      <name val="Calibri"/>
      <family val="2"/>
      <charset val="1"/>
    </font>
    <font>
      <sz val="14"/>
      <color rgb="FF2E5090"/>
      <name val="Calibri"/>
      <family val="2"/>
      <charset val="1"/>
    </font>
    <font>
      <b/>
      <sz val="20"/>
      <color rgb="FFC00000"/>
      <name val="Calibri"/>
      <family val="2"/>
      <charset val="1"/>
    </font>
    <font>
      <b/>
      <sz val="28"/>
      <color rgb="FFED7D31"/>
      <name val="Calibri"/>
      <family val="2"/>
      <charset val="1"/>
    </font>
    <font>
      <b/>
      <sz val="12"/>
      <name val="Calibri"/>
      <family val="2"/>
      <charset val="1"/>
    </font>
    <font>
      <b/>
      <sz val="28"/>
      <color rgb="FF70AD47"/>
      <name val="Calibri"/>
      <family val="2"/>
      <charset val="1"/>
    </font>
    <font>
      <i/>
      <sz val="9"/>
      <color rgb="FF555555"/>
      <name val="Calibri"/>
      <family val="2"/>
      <charset val="1"/>
    </font>
    <font>
      <b/>
      <sz val="11"/>
      <color rgb="FF1B2A4A"/>
      <name val="Calibri"/>
      <family val="2"/>
      <charset val="1"/>
    </font>
    <font>
      <b/>
      <sz val="12"/>
      <color rgb="FFC00000"/>
      <name val="Calibri"/>
      <family val="2"/>
      <charset val="1"/>
    </font>
    <font>
      <sz val="9"/>
      <name val="Calibri"/>
      <family val="2"/>
      <charset val="1"/>
    </font>
    <font>
      <b/>
      <sz val="11"/>
      <color rgb="FF2E5090"/>
      <name val="Calibri"/>
      <family val="2"/>
      <charset val="1"/>
    </font>
    <font>
      <b/>
      <sz val="11"/>
      <color rgb="FFED7D31"/>
      <name val="Calibri"/>
      <family val="2"/>
      <charset val="1"/>
    </font>
    <font>
      <b/>
      <sz val="11"/>
      <color rgb="FFC00000"/>
      <name val="Calibri"/>
      <family val="2"/>
      <charset val="1"/>
    </font>
    <font>
      <b/>
      <sz val="11"/>
      <color rgb="FF6B3FA0"/>
      <name val="Calibri"/>
      <family val="2"/>
      <charset val="1"/>
    </font>
    <font>
      <b/>
      <sz val="13"/>
      <color rgb="FFFFFFFF"/>
      <name val="Calibri"/>
      <family val="2"/>
      <charset val="1"/>
    </font>
    <font>
      <b/>
      <sz val="13"/>
      <color rgb="FFFFC000"/>
      <name val="Calibri"/>
      <family val="2"/>
      <charset val="1"/>
    </font>
    <font>
      <sz val="8"/>
      <color rgb="FFF2F2F2"/>
      <name val="Calibri"/>
      <family val="2"/>
      <charset val="1"/>
    </font>
    <font>
      <b/>
      <sz val="9"/>
      <name val="Calibri"/>
      <family val="2"/>
      <charset val="1"/>
    </font>
    <font>
      <b/>
      <sz val="14"/>
      <name val="Calibri"/>
      <family val="2"/>
      <charset val="1"/>
    </font>
    <font>
      <sz val="8"/>
      <color rgb="FF333333"/>
      <name val="Calibri"/>
      <family val="2"/>
      <charset val="1"/>
    </font>
    <font>
      <sz val="8"/>
      <color rgb="FFFFFFFF"/>
      <name val="Calibri"/>
      <family val="2"/>
      <charset val="1"/>
    </font>
    <font>
      <i/>
      <sz val="9"/>
      <name val="Calibri"/>
      <family val="2"/>
      <charset val="1"/>
    </font>
    <font>
      <sz val="8"/>
      <color rgb="FF808080"/>
      <name val="Calibri"/>
      <family val="2"/>
      <charset val="1"/>
    </font>
    <font>
      <b/>
      <sz val="12"/>
      <color rgb="FF70AD47"/>
      <name val="Calibri"/>
      <family val="2"/>
      <charset val="1"/>
    </font>
    <font>
      <b/>
      <sz val="10"/>
      <color rgb="FFED7D31"/>
      <name val="Calibri"/>
      <family val="2"/>
      <charset val="1"/>
    </font>
    <font>
      <b/>
      <sz val="12"/>
      <color rgb="FFED7D31"/>
      <name val="Calibri"/>
      <family val="2"/>
      <charset val="1"/>
    </font>
    <font>
      <sz val="11"/>
      <color theme="2" tint="-0.499984740745262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0"/>
      <color rgb="FF1B2A4A"/>
      <name val="Calibri"/>
      <family val="2"/>
      <charset val="1"/>
    </font>
    <font>
      <b/>
      <sz val="18"/>
      <color rgb="FF1B2A4A"/>
      <name val="Calibri"/>
      <family val="2"/>
      <charset val="1"/>
    </font>
    <font>
      <i/>
      <sz val="11"/>
      <color rgb="FF808080"/>
      <name val="Calibri"/>
      <family val="2"/>
      <charset val="1"/>
    </font>
    <font>
      <b/>
      <sz val="13"/>
      <color rgb="FF1B2A4A"/>
      <name val="Calibri"/>
      <family val="2"/>
      <charset val="1"/>
    </font>
    <font>
      <sz val="10"/>
      <color rgb="FF808080"/>
      <name val="Calibri"/>
      <family val="2"/>
      <charset val="1"/>
    </font>
    <font>
      <b/>
      <sz val="16"/>
      <name val="Calibri"/>
      <family val="2"/>
      <charset val="1"/>
    </font>
    <font>
      <b/>
      <sz val="13"/>
      <name val="Calibri"/>
      <family val="2"/>
      <charset val="1"/>
    </font>
    <font>
      <b/>
      <sz val="9"/>
      <color rgb="FF9C0006"/>
      <name val="Calibri"/>
      <family val="2"/>
      <charset val="1"/>
    </font>
    <font>
      <b/>
      <sz val="10"/>
      <color rgb="FFFFFFFF"/>
      <name val="Calibri"/>
      <family val="2"/>
      <charset val="1"/>
    </font>
    <font>
      <sz val="10"/>
      <color theme="1"/>
      <name val="Calibri"/>
      <family val="2"/>
      <charset val="1"/>
    </font>
    <font>
      <b/>
      <sz val="10"/>
      <color rgb="FF6B3FA0"/>
      <name val="Calibri"/>
      <family val="2"/>
      <charset val="1"/>
    </font>
    <font>
      <b/>
      <sz val="11"/>
      <color rgb="FF1B2A4A"/>
      <name val="Calibri"/>
      <charset val="1"/>
    </font>
    <font>
      <b/>
      <sz val="9"/>
      <color rgb="FFFFFFFF"/>
      <name val="Calibri"/>
      <charset val="1"/>
    </font>
    <font>
      <b/>
      <sz val="12"/>
      <color rgb="FF808080"/>
      <name val="Calibri"/>
      <charset val="1"/>
    </font>
    <font>
      <b/>
      <sz val="10"/>
      <name val="Calibri"/>
      <charset val="1"/>
    </font>
    <font>
      <sz val="10"/>
      <name val="Calibri"/>
      <charset val="1"/>
    </font>
    <font>
      <b/>
      <sz val="12"/>
      <color rgb="FFC0392B"/>
      <name val="Calibri"/>
      <charset val="1"/>
    </font>
    <font>
      <b/>
      <sz val="12"/>
      <color rgb="FFE67E22"/>
      <name val="Calibri"/>
      <charset val="1"/>
    </font>
    <font>
      <b/>
      <sz val="12"/>
      <color rgb="FF27AE60"/>
      <name val="Calibri"/>
      <charset val="1"/>
    </font>
    <font>
      <b/>
      <sz val="12"/>
      <color rgb="FF2980B9"/>
      <name val="Calibri"/>
      <charset val="1"/>
    </font>
    <font>
      <i/>
      <sz val="9"/>
      <color rgb="FF666666"/>
      <name val="Calibri"/>
      <charset val="1"/>
    </font>
    <font>
      <i/>
      <sz val="10"/>
      <color rgb="FF555555"/>
      <name val="Calibri"/>
      <family val="2"/>
      <charset val="1"/>
    </font>
    <font>
      <i/>
      <sz val="9"/>
      <color rgb="FF1F4E79"/>
      <name val="Cambria"/>
      <charset val="1"/>
    </font>
    <font>
      <b/>
      <sz val="14"/>
      <color rgb="FF1B2A4A"/>
      <name val="Calibri"/>
      <family val="2"/>
      <charset val="1"/>
    </font>
    <font>
      <b/>
      <sz val="10"/>
      <color rgb="FF006100"/>
      <name val="Calibri"/>
      <family val="2"/>
      <charset val="1"/>
    </font>
    <font>
      <b/>
      <sz val="10"/>
      <color rgb="FF9C6500"/>
      <name val="Calibri"/>
      <family val="2"/>
      <charset val="1"/>
    </font>
    <font>
      <b/>
      <sz val="10"/>
      <color rgb="FF9C4000"/>
      <name val="Calibri"/>
      <family val="2"/>
      <charset val="1"/>
    </font>
    <font>
      <b/>
      <sz val="10"/>
      <color rgb="FF9C0006"/>
      <name val="Calibri"/>
      <family val="2"/>
      <charset val="1"/>
    </font>
    <font>
      <b/>
      <sz val="18"/>
      <name val="Calibri"/>
      <family val="2"/>
      <charset val="1"/>
    </font>
    <font>
      <i/>
      <sz val="8"/>
      <color rgb="FFA0A0A0"/>
      <name val="Calibri"/>
      <family val="2"/>
      <charset val="1"/>
    </font>
    <font>
      <sz val="8"/>
      <color theme="1"/>
      <name val="Calibri"/>
      <family val="2"/>
      <charset val="1"/>
    </font>
    <font>
      <b/>
      <sz val="8"/>
      <color rgb="FFFFFFFF"/>
      <name val="Calibri"/>
      <family val="2"/>
      <charset val="1"/>
    </font>
    <font>
      <b/>
      <sz val="8"/>
      <color theme="0" tint="-0.34998626667073579"/>
      <name val="Calibri"/>
      <family val="2"/>
      <charset val="1"/>
    </font>
    <font>
      <b/>
      <sz val="14"/>
      <color rgb="FFC00000"/>
      <name val="Calibri"/>
      <family val="2"/>
      <charset val="1"/>
    </font>
    <font>
      <b/>
      <sz val="14"/>
      <color rgb="FFED7D31"/>
      <name val="Calibri"/>
      <family val="2"/>
      <charset val="1"/>
    </font>
    <font>
      <b/>
      <sz val="10"/>
      <color rgb="FFFFC000"/>
      <name val="Calibri"/>
      <family val="2"/>
      <charset val="1"/>
    </font>
    <font>
      <b/>
      <sz val="14"/>
      <color rgb="FF70AD47"/>
      <name val="Calibri"/>
      <family val="2"/>
      <charset val="1"/>
    </font>
    <font>
      <b/>
      <sz val="12"/>
      <color rgb="FF006100"/>
      <name val="Calibri"/>
      <family val="2"/>
      <charset val="1"/>
    </font>
    <font>
      <b/>
      <sz val="12"/>
      <color rgb="FF1F4E79"/>
      <name val="Calibri"/>
      <family val="2"/>
      <charset val="1"/>
    </font>
    <font>
      <b/>
      <sz val="12"/>
      <color rgb="FF9C6500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FFF2CC"/>
        <bgColor rgb="FFFFF3CD"/>
      </patternFill>
    </fill>
    <fill>
      <patternFill patternType="solid">
        <fgColor rgb="FFD6E4F0"/>
        <bgColor rgb="FFD9D9D9"/>
      </patternFill>
    </fill>
    <fill>
      <patternFill patternType="solid">
        <fgColor rgb="FFFCE4EC"/>
        <bgColor rgb="FFFCE4D6"/>
      </patternFill>
    </fill>
    <fill>
      <patternFill patternType="solid">
        <fgColor rgb="FF1B2A4A"/>
        <bgColor rgb="FF333333"/>
      </patternFill>
    </fill>
    <fill>
      <patternFill patternType="solid">
        <fgColor theme="9" tint="0.59978026673177287"/>
        <bgColor rgb="FFFFDAB9"/>
      </patternFill>
    </fill>
    <fill>
      <patternFill patternType="solid">
        <fgColor rgb="FFE2EFDA"/>
        <bgColor rgb="FFEBF1DE"/>
      </patternFill>
    </fill>
    <fill>
      <patternFill patternType="solid">
        <fgColor rgb="FF2E5090"/>
        <bgColor rgb="FF1F4E79"/>
      </patternFill>
    </fill>
    <fill>
      <patternFill patternType="solid">
        <fgColor rgb="FFC00000"/>
        <bgColor rgb="FF9C0006"/>
      </patternFill>
    </fill>
    <fill>
      <patternFill patternType="solid">
        <fgColor rgb="FFED7D31"/>
        <bgColor rgb="FFE67E22"/>
      </patternFill>
    </fill>
    <fill>
      <patternFill patternType="solid">
        <fgColor rgb="FF70AD47"/>
        <bgColor rgb="FF72C488"/>
      </patternFill>
    </fill>
    <fill>
      <patternFill patternType="solid">
        <fgColor rgb="FFFCE4D6"/>
        <bgColor rgb="FFFCE4EC"/>
      </patternFill>
    </fill>
    <fill>
      <patternFill patternType="solid">
        <fgColor rgb="FFD9D9D9"/>
        <bgColor rgb="FFD0D0D0"/>
      </patternFill>
    </fill>
    <fill>
      <patternFill patternType="solid">
        <fgColor rgb="FF808080"/>
        <bgColor rgb="FF7F7F7F"/>
      </patternFill>
    </fill>
    <fill>
      <patternFill patternType="solid">
        <fgColor rgb="FFC6EFCE"/>
        <bgColor rgb="FFE2EFDA"/>
      </patternFill>
    </fill>
    <fill>
      <patternFill patternType="solid">
        <fgColor rgb="FFFFC7CE"/>
        <bgColor rgb="FFFCD5B5"/>
      </patternFill>
    </fill>
    <fill>
      <patternFill patternType="solid">
        <fgColor rgb="FFC0392B"/>
        <bgColor rgb="FF9C4000"/>
      </patternFill>
    </fill>
    <fill>
      <patternFill patternType="solid">
        <fgColor rgb="FF6B3FA0"/>
        <bgColor rgb="FF555555"/>
      </patternFill>
    </fill>
    <fill>
      <patternFill patternType="solid">
        <fgColor theme="1" tint="0.49989318521683401"/>
        <bgColor rgb="FF808080"/>
      </patternFill>
    </fill>
    <fill>
      <patternFill patternType="solid">
        <fgColor rgb="FFFFDAB9"/>
        <bgColor rgb="FFFCD5B5"/>
      </patternFill>
    </fill>
    <fill>
      <patternFill patternType="solid">
        <fgColor theme="0" tint="-4.9989318521683403E-2"/>
        <bgColor rgb="FFEDEDED"/>
      </patternFill>
    </fill>
    <fill>
      <patternFill patternType="solid">
        <fgColor theme="6" tint="0.79989013336588644"/>
        <bgColor rgb="FFE2EFDA"/>
      </patternFill>
    </fill>
    <fill>
      <patternFill patternType="solid">
        <fgColor theme="0" tint="-0.34998626667073579"/>
        <bgColor rgb="FFA0A0A0"/>
      </patternFill>
    </fill>
    <fill>
      <patternFill patternType="solid">
        <fgColor rgb="FFFFF3CD"/>
        <bgColor rgb="FFFFF2CC"/>
      </patternFill>
    </fill>
  </fills>
  <borders count="9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double">
        <color auto="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double">
        <color auto="1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16" fillId="5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/>
    <xf numFmtId="0" fontId="5" fillId="0" borderId="0" xfId="0" applyFont="1"/>
    <xf numFmtId="0" fontId="7" fillId="2" borderId="0" xfId="0" applyFont="1" applyFill="1"/>
    <xf numFmtId="0" fontId="8" fillId="0" borderId="0" xfId="0" applyFont="1" applyAlignment="1">
      <alignment vertical="top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65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 vertical="center"/>
    </xf>
    <xf numFmtId="0" fontId="16" fillId="5" borderId="0" xfId="0" applyFont="1" applyFill="1"/>
    <xf numFmtId="0" fontId="0" fillId="5" borderId="0" xfId="0" applyFill="1"/>
    <xf numFmtId="0" fontId="5" fillId="0" borderId="0" xfId="0" applyFont="1" applyAlignment="1">
      <alignment horizontal="left" vertical="center" wrapText="1"/>
    </xf>
    <xf numFmtId="3" fontId="14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 wrapText="1"/>
    </xf>
    <xf numFmtId="3" fontId="5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top" wrapText="1"/>
    </xf>
    <xf numFmtId="3" fontId="17" fillId="6" borderId="2" xfId="0" applyNumberFormat="1" applyFont="1" applyFill="1" applyBorder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0" xfId="0" applyFont="1"/>
    <xf numFmtId="3" fontId="8" fillId="0" borderId="3" xfId="0" applyNumberFormat="1" applyFont="1" applyBorder="1" applyAlignment="1">
      <alignment vertical="center"/>
    </xf>
    <xf numFmtId="0" fontId="18" fillId="7" borderId="0" xfId="0" applyFont="1" applyFill="1"/>
    <xf numFmtId="0" fontId="0" fillId="0" borderId="4" xfId="0" applyBorder="1" applyAlignment="1">
      <alignment vertical="center"/>
    </xf>
    <xf numFmtId="10" fontId="5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166" fontId="20" fillId="0" borderId="4" xfId="0" applyNumberFormat="1" applyFont="1" applyBorder="1" applyAlignment="1">
      <alignment vertical="center"/>
    </xf>
    <xf numFmtId="3" fontId="21" fillId="0" borderId="5" xfId="0" applyNumberFormat="1" applyFont="1" applyBorder="1" applyAlignment="1">
      <alignment vertical="center"/>
    </xf>
    <xf numFmtId="0" fontId="22" fillId="0" borderId="0" xfId="0" applyFont="1"/>
    <xf numFmtId="3" fontId="0" fillId="0" borderId="0" xfId="0" applyNumberFormat="1"/>
    <xf numFmtId="0" fontId="23" fillId="0" borderId="0" xfId="0" applyFont="1" applyAlignment="1">
      <alignment wrapText="1"/>
    </xf>
    <xf numFmtId="0" fontId="24" fillId="0" borderId="0" xfId="0" applyFont="1"/>
    <xf numFmtId="0" fontId="5" fillId="5" borderId="0" xfId="0" applyFont="1" applyFill="1"/>
    <xf numFmtId="0" fontId="5" fillId="8" borderId="0" xfId="0" applyFont="1" applyFill="1"/>
    <xf numFmtId="0" fontId="0" fillId="8" borderId="0" xfId="0" applyFill="1"/>
    <xf numFmtId="0" fontId="27" fillId="11" borderId="0" xfId="0" applyFont="1" applyFill="1"/>
    <xf numFmtId="166" fontId="28" fillId="3" borderId="0" xfId="0" applyNumberFormat="1" applyFont="1" applyFill="1" applyAlignment="1">
      <alignment horizontal="center" vertical="center" wrapText="1"/>
    </xf>
    <xf numFmtId="0" fontId="29" fillId="3" borderId="0" xfId="0" applyFont="1" applyFill="1" applyAlignment="1">
      <alignment horizontal="left"/>
    </xf>
    <xf numFmtId="2" fontId="31" fillId="12" borderId="0" xfId="0" applyNumberFormat="1" applyFont="1" applyFill="1" applyAlignment="1">
      <alignment horizontal="center" vertical="center" wrapText="1"/>
    </xf>
    <xf numFmtId="0" fontId="32" fillId="12" borderId="0" xfId="0" applyFont="1" applyFill="1" applyAlignment="1">
      <alignment horizontal="left" vertical="center"/>
    </xf>
    <xf numFmtId="9" fontId="33" fillId="7" borderId="0" xfId="0" applyNumberFormat="1" applyFont="1" applyFill="1" applyAlignment="1">
      <alignment horizontal="center" vertical="center" wrapText="1"/>
    </xf>
    <xf numFmtId="167" fontId="3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1" xfId="0" applyFont="1" applyBorder="1" applyAlignment="1">
      <alignment horizontal="left" vertical="center" wrapText="1"/>
    </xf>
    <xf numFmtId="166" fontId="3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36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vertical="top" wrapText="1"/>
    </xf>
    <xf numFmtId="0" fontId="38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166" fontId="42" fillId="5" borderId="0" xfId="0" applyNumberFormat="1" applyFont="1" applyFill="1" applyAlignment="1">
      <alignment horizontal="center" vertical="center" wrapText="1"/>
    </xf>
    <xf numFmtId="166" fontId="43" fillId="5" borderId="0" xfId="0" applyNumberFormat="1" applyFont="1" applyFill="1" applyAlignment="1">
      <alignment horizontal="center" vertical="center" wrapText="1"/>
    </xf>
    <xf numFmtId="166" fontId="5" fillId="0" borderId="0" xfId="0" applyNumberFormat="1" applyFont="1"/>
    <xf numFmtId="0" fontId="44" fillId="0" borderId="0" xfId="0" applyFont="1"/>
    <xf numFmtId="166" fontId="44" fillId="0" borderId="0" xfId="0" applyNumberFormat="1" applyFont="1"/>
    <xf numFmtId="3" fontId="5" fillId="0" borderId="0" xfId="0" applyNumberFormat="1" applyFont="1"/>
    <xf numFmtId="0" fontId="27" fillId="14" borderId="6" xfId="0" applyFont="1" applyFill="1" applyBorder="1" applyAlignment="1">
      <alignment horizontal="center"/>
    </xf>
    <xf numFmtId="0" fontId="45" fillId="0" borderId="6" xfId="0" applyFont="1" applyBorder="1"/>
    <xf numFmtId="0" fontId="46" fillId="15" borderId="6" xfId="0" applyFont="1" applyFill="1" applyBorder="1" applyAlignment="1">
      <alignment horizontal="center" vertical="center"/>
    </xf>
    <xf numFmtId="0" fontId="46" fillId="3" borderId="6" xfId="0" applyFont="1" applyFill="1" applyBorder="1" applyAlignment="1">
      <alignment horizontal="center" vertical="center"/>
    </xf>
    <xf numFmtId="0" fontId="46" fillId="2" borderId="6" xfId="0" applyFont="1" applyFill="1" applyBorder="1" applyAlignment="1">
      <alignment horizontal="center" vertical="center"/>
    </xf>
    <xf numFmtId="0" fontId="46" fillId="16" borderId="6" xfId="0" applyFont="1" applyFill="1" applyBorder="1" applyAlignment="1">
      <alignment horizontal="center" vertical="center"/>
    </xf>
    <xf numFmtId="0" fontId="46" fillId="17" borderId="6" xfId="0" applyFont="1" applyFill="1" applyBorder="1" applyAlignment="1">
      <alignment horizontal="center" vertical="center"/>
    </xf>
    <xf numFmtId="0" fontId="45" fillId="0" borderId="0" xfId="0" applyFont="1"/>
    <xf numFmtId="0" fontId="47" fillId="15" borderId="6" xfId="0" applyFont="1" applyFill="1" applyBorder="1" applyAlignment="1">
      <alignment horizontal="center"/>
    </xf>
    <xf numFmtId="0" fontId="47" fillId="3" borderId="6" xfId="0" applyFont="1" applyFill="1" applyBorder="1" applyAlignment="1">
      <alignment horizontal="center"/>
    </xf>
    <xf numFmtId="0" fontId="47" fillId="2" borderId="6" xfId="0" applyFont="1" applyFill="1" applyBorder="1" applyAlignment="1">
      <alignment horizontal="center"/>
    </xf>
    <xf numFmtId="0" fontId="47" fillId="16" borderId="6" xfId="0" applyFont="1" applyFill="1" applyBorder="1" applyAlignment="1">
      <alignment horizontal="center"/>
    </xf>
    <xf numFmtId="0" fontId="48" fillId="17" borderId="6" xfId="0" applyFont="1" applyFill="1" applyBorder="1" applyAlignment="1">
      <alignment horizontal="center"/>
    </xf>
    <xf numFmtId="0" fontId="35" fillId="0" borderId="0" xfId="0" applyFont="1"/>
    <xf numFmtId="2" fontId="32" fillId="0" borderId="0" xfId="0" applyNumberFormat="1" applyFont="1"/>
    <xf numFmtId="0" fontId="49" fillId="0" borderId="0" xfId="0" applyFont="1"/>
    <xf numFmtId="0" fontId="50" fillId="0" borderId="0" xfId="0" applyFont="1"/>
    <xf numFmtId="0" fontId="20" fillId="0" borderId="1" xfId="0" applyFont="1" applyBorder="1" applyAlignment="1">
      <alignment horizontal="left" vertical="center" wrapText="1"/>
    </xf>
    <xf numFmtId="3" fontId="3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3" fontId="51" fillId="0" borderId="1" xfId="0" applyNumberFormat="1" applyFont="1" applyBorder="1" applyAlignment="1">
      <alignment horizontal="center" vertical="center" wrapText="1"/>
    </xf>
    <xf numFmtId="0" fontId="52" fillId="0" borderId="1" xfId="0" applyFont="1" applyBorder="1" applyAlignment="1">
      <alignment horizontal="left" vertical="center" wrapText="1"/>
    </xf>
    <xf numFmtId="3" fontId="53" fillId="0" borderId="1" xfId="0" applyNumberFormat="1" applyFont="1" applyBorder="1" applyAlignment="1">
      <alignment horizontal="center" vertical="center" wrapText="1"/>
    </xf>
    <xf numFmtId="166" fontId="36" fillId="0" borderId="1" xfId="0" applyNumberFormat="1" applyFont="1" applyBorder="1" applyAlignment="1">
      <alignment horizontal="center" vertical="center" wrapText="1"/>
    </xf>
    <xf numFmtId="0" fontId="54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164" fontId="5" fillId="0" borderId="0" xfId="0" applyNumberFormat="1" applyFont="1"/>
    <xf numFmtId="0" fontId="27" fillId="5" borderId="6" xfId="0" applyFont="1" applyFill="1" applyBorder="1" applyAlignment="1">
      <alignment horizontal="center"/>
    </xf>
    <xf numFmtId="166" fontId="61" fillId="0" borderId="6" xfId="0" applyNumberFormat="1" applyFont="1" applyBorder="1" applyAlignment="1">
      <alignment horizontal="center"/>
    </xf>
    <xf numFmtId="167" fontId="62" fillId="0" borderId="6" xfId="0" applyNumberFormat="1" applyFont="1" applyBorder="1" applyAlignment="1">
      <alignment horizontal="center"/>
    </xf>
    <xf numFmtId="2" fontId="61" fillId="0" borderId="6" xfId="0" applyNumberFormat="1" applyFont="1" applyBorder="1" applyAlignment="1">
      <alignment horizontal="center"/>
    </xf>
    <xf numFmtId="9" fontId="61" fillId="0" borderId="6" xfId="0" applyNumberFormat="1" applyFont="1" applyBorder="1" applyAlignment="1">
      <alignment horizontal="center"/>
    </xf>
    <xf numFmtId="0" fontId="3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wrapText="1"/>
    </xf>
    <xf numFmtId="0" fontId="24" fillId="0" borderId="0" xfId="0" applyFont="1" applyAlignment="1">
      <alignment vertical="center" wrapText="1"/>
    </xf>
    <xf numFmtId="0" fontId="63" fillId="0" borderId="0" xfId="0" applyFont="1" applyAlignment="1">
      <alignment vertical="center" wrapText="1"/>
    </xf>
    <xf numFmtId="0" fontId="64" fillId="5" borderId="6" xfId="0" applyFont="1" applyFill="1" applyBorder="1" applyAlignment="1">
      <alignment horizontal="center"/>
    </xf>
    <xf numFmtId="0" fontId="14" fillId="0" borderId="6" xfId="0" applyFont="1" applyBorder="1"/>
    <xf numFmtId="166" fontId="0" fillId="0" borderId="6" xfId="0" applyNumberForma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5" fillId="0" borderId="6" xfId="0" applyFont="1" applyBorder="1"/>
    <xf numFmtId="167" fontId="22" fillId="0" borderId="6" xfId="0" applyNumberFormat="1" applyFont="1" applyBorder="1" applyAlignment="1">
      <alignment horizontal="right"/>
    </xf>
    <xf numFmtId="166" fontId="22" fillId="0" borderId="6" xfId="0" applyNumberFormat="1" applyFont="1" applyBorder="1" applyAlignment="1">
      <alignment horizontal="right"/>
    </xf>
    <xf numFmtId="0" fontId="64" fillId="5" borderId="6" xfId="0" applyFont="1" applyFill="1" applyBorder="1"/>
    <xf numFmtId="0" fontId="14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7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0" xfId="0" applyFont="1"/>
    <xf numFmtId="0" fontId="68" fillId="5" borderId="6" xfId="0" applyFont="1" applyFill="1" applyBorder="1" applyAlignment="1">
      <alignment horizontal="center"/>
    </xf>
    <xf numFmtId="0" fontId="69" fillId="0" borderId="6" xfId="0" applyFont="1" applyBorder="1" applyAlignment="1">
      <alignment horizontal="center"/>
    </xf>
    <xf numFmtId="0" fontId="70" fillId="0" borderId="6" xfId="0" applyFont="1" applyBorder="1"/>
    <xf numFmtId="0" fontId="71" fillId="0" borderId="6" xfId="0" applyFont="1" applyBorder="1" applyAlignment="1">
      <alignment wrapText="1"/>
    </xf>
    <xf numFmtId="0" fontId="72" fillId="0" borderId="6" xfId="0" applyFont="1" applyBorder="1" applyAlignment="1">
      <alignment horizontal="center"/>
    </xf>
    <xf numFmtId="0" fontId="73" fillId="0" borderId="6" xfId="0" applyFont="1" applyBorder="1" applyAlignment="1">
      <alignment horizontal="center"/>
    </xf>
    <xf numFmtId="0" fontId="74" fillId="0" borderId="6" xfId="0" applyFont="1" applyBorder="1" applyAlignment="1">
      <alignment horizontal="center"/>
    </xf>
    <xf numFmtId="0" fontId="75" fillId="0" borderId="6" xfId="0" applyFont="1" applyBorder="1" applyAlignment="1">
      <alignment horizontal="center"/>
    </xf>
    <xf numFmtId="0" fontId="76" fillId="0" borderId="0" xfId="0" applyFont="1"/>
    <xf numFmtId="166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52" fillId="0" borderId="0" xfId="0" applyFont="1"/>
    <xf numFmtId="0" fontId="20" fillId="0" borderId="0" xfId="0" applyFont="1"/>
    <xf numFmtId="0" fontId="66" fillId="0" borderId="0" xfId="0" applyFont="1"/>
    <xf numFmtId="0" fontId="35" fillId="0" borderId="7" xfId="0" applyFont="1" applyBorder="1"/>
    <xf numFmtId="166" fontId="22" fillId="0" borderId="7" xfId="0" applyNumberFormat="1" applyFont="1" applyBorder="1" applyAlignment="1">
      <alignment horizontal="center" vertical="center" wrapText="1"/>
    </xf>
    <xf numFmtId="166" fontId="40" fillId="0" borderId="7" xfId="0" applyNumberFormat="1" applyFont="1" applyBorder="1" applyAlignment="1">
      <alignment horizontal="center" vertical="center" wrapText="1"/>
    </xf>
    <xf numFmtId="0" fontId="0" fillId="0" borderId="7" xfId="0" applyBorder="1"/>
    <xf numFmtId="166" fontId="12" fillId="0" borderId="0" xfId="0" applyNumberFormat="1" applyFont="1"/>
    <xf numFmtId="0" fontId="77" fillId="0" borderId="0" xfId="0" applyFont="1"/>
    <xf numFmtId="0" fontId="78" fillId="0" borderId="0" xfId="0" applyFont="1" applyAlignment="1">
      <alignment vertical="top" wrapText="1"/>
    </xf>
    <xf numFmtId="0" fontId="39" fillId="0" borderId="0" xfId="0" applyFont="1"/>
    <xf numFmtId="2" fontId="53" fillId="0" borderId="0" xfId="0" applyNumberFormat="1" applyFont="1" applyAlignment="1">
      <alignment horizontal="center" vertical="center" wrapText="1"/>
    </xf>
    <xf numFmtId="0" fontId="40" fillId="0" borderId="0" xfId="0" applyFont="1"/>
    <xf numFmtId="2" fontId="36" fillId="0" borderId="0" xfId="0" applyNumberFormat="1" applyFont="1" applyAlignment="1">
      <alignment horizontal="center" vertical="center" wrapText="1"/>
    </xf>
    <xf numFmtId="2" fontId="39" fillId="0" borderId="0" xfId="0" applyNumberFormat="1" applyFont="1" applyAlignment="1">
      <alignment horizontal="center" vertical="center" wrapText="1"/>
    </xf>
    <xf numFmtId="2" fontId="40" fillId="0" borderId="0" xfId="0" applyNumberFormat="1" applyFont="1" applyAlignment="1">
      <alignment horizontal="center" vertical="center" wrapText="1"/>
    </xf>
    <xf numFmtId="2" fontId="79" fillId="0" borderId="7" xfId="0" applyNumberFormat="1" applyFont="1" applyBorder="1" applyAlignment="1">
      <alignment horizontal="center" vertical="center" wrapText="1"/>
    </xf>
    <xf numFmtId="0" fontId="0" fillId="19" borderId="0" xfId="0" applyFill="1"/>
    <xf numFmtId="0" fontId="12" fillId="19" borderId="0" xfId="0" applyFont="1" applyFill="1"/>
    <xf numFmtId="0" fontId="5" fillId="0" borderId="0" xfId="0" applyFont="1" applyAlignment="1">
      <alignment indent="2"/>
    </xf>
    <xf numFmtId="0" fontId="27" fillId="5" borderId="6" xfId="0" applyFont="1" applyFill="1" applyBorder="1" applyAlignment="1">
      <alignment horizontal="center" wrapText="1"/>
    </xf>
    <xf numFmtId="0" fontId="14" fillId="0" borderId="6" xfId="0" applyFont="1" applyBorder="1" applyAlignment="1">
      <alignment horizontal="center" vertical="center"/>
    </xf>
    <xf numFmtId="0" fontId="80" fillId="15" borderId="6" xfId="0" applyFont="1" applyFill="1" applyBorder="1" applyAlignment="1">
      <alignment horizontal="center" vertical="center"/>
    </xf>
    <xf numFmtId="0" fontId="81" fillId="2" borderId="6" xfId="0" applyFont="1" applyFill="1" applyBorder="1" applyAlignment="1">
      <alignment horizontal="center" vertical="center"/>
    </xf>
    <xf numFmtId="0" fontId="82" fillId="20" borderId="6" xfId="0" applyFont="1" applyFill="1" applyBorder="1" applyAlignment="1">
      <alignment horizontal="center" vertical="center"/>
    </xf>
    <xf numFmtId="0" fontId="83" fillId="16" borderId="6" xfId="0" applyFont="1" applyFill="1" applyBorder="1" applyAlignment="1">
      <alignment horizontal="center" vertical="center"/>
    </xf>
    <xf numFmtId="2" fontId="46" fillId="0" borderId="6" xfId="0" applyNumberFormat="1" applyFont="1" applyBorder="1" applyAlignment="1">
      <alignment horizontal="center"/>
    </xf>
    <xf numFmtId="2" fontId="84" fillId="0" borderId="8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6" fillId="21" borderId="0" xfId="0" applyFont="1" applyFill="1"/>
    <xf numFmtId="0" fontId="5" fillId="22" borderId="0" xfId="0" applyFont="1" applyFill="1" applyAlignment="1">
      <alignment wrapText="1"/>
    </xf>
    <xf numFmtId="0" fontId="85" fillId="0" borderId="0" xfId="0" applyFont="1"/>
    <xf numFmtId="0" fontId="86" fillId="0" borderId="0" xfId="0" applyFont="1"/>
    <xf numFmtId="0" fontId="5" fillId="0" borderId="0" xfId="0" applyFont="1" applyAlignment="1">
      <alignment vertical="center"/>
    </xf>
    <xf numFmtId="0" fontId="87" fillId="2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88" fillId="0" borderId="1" xfId="0" applyFont="1" applyBorder="1" applyAlignment="1">
      <alignment horizontal="center" vertical="center" wrapText="1"/>
    </xf>
    <xf numFmtId="1" fontId="88" fillId="0" borderId="1" xfId="0" applyNumberFormat="1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89" fillId="0" borderId="0" xfId="0" applyFont="1" applyAlignment="1">
      <alignment horizontal="center" vertical="center" wrapText="1"/>
    </xf>
    <xf numFmtId="0" fontId="90" fillId="0" borderId="0" xfId="0" applyFont="1" applyAlignment="1">
      <alignment horizontal="center" vertical="center" wrapText="1"/>
    </xf>
    <xf numFmtId="0" fontId="91" fillId="0" borderId="0" xfId="0" applyFont="1"/>
    <xf numFmtId="0" fontId="46" fillId="0" borderId="0" xfId="0" applyFont="1" applyAlignment="1">
      <alignment horizontal="center" vertical="center" wrapText="1"/>
    </xf>
    <xf numFmtId="0" fontId="92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14" fillId="7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86" fillId="0" borderId="0" xfId="0" applyFont="1" applyAlignment="1">
      <alignment vertical="center"/>
    </xf>
    <xf numFmtId="0" fontId="5" fillId="24" borderId="6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3" fillId="15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64" fillId="5" borderId="6" xfId="0" applyFont="1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94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95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3" fontId="9" fillId="0" borderId="7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0" fillId="4" borderId="6" xfId="0" applyFont="1" applyFill="1" applyBorder="1" applyAlignment="1">
      <alignment horizontal="center" vertical="center"/>
    </xf>
    <xf numFmtId="0" fontId="70" fillId="2" borderId="6" xfId="0" applyFont="1" applyFill="1" applyBorder="1" applyAlignment="1">
      <alignment horizontal="center" vertical="center"/>
    </xf>
    <xf numFmtId="0" fontId="70" fillId="3" borderId="6" xfId="0" applyFont="1" applyFill="1" applyBorder="1" applyAlignment="1">
      <alignment horizontal="center" vertical="center"/>
    </xf>
    <xf numFmtId="0" fontId="70" fillId="15" borderId="6" xfId="0" applyFont="1" applyFill="1" applyBorder="1" applyAlignment="1">
      <alignment horizontal="center" vertical="center"/>
    </xf>
    <xf numFmtId="0" fontId="3" fillId="3" borderId="0" xfId="0" applyFont="1" applyFill="1"/>
    <xf numFmtId="0" fontId="3" fillId="4" borderId="0" xfId="0" applyFont="1" applyFill="1"/>
    <xf numFmtId="0" fontId="56" fillId="3" borderId="0" xfId="0" applyFont="1" applyFill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55" fillId="5" borderId="0" xfId="0" applyFont="1" applyFill="1"/>
    <xf numFmtId="0" fontId="16" fillId="5" borderId="1" xfId="0" applyFont="1" applyFill="1" applyBorder="1" applyAlignment="1">
      <alignment horizontal="center" vertical="center" wrapText="1"/>
    </xf>
    <xf numFmtId="167" fontId="30" fillId="4" borderId="0" xfId="0" applyNumberFormat="1" applyFont="1" applyFill="1" applyAlignment="1">
      <alignment horizontal="center" vertical="center" wrapText="1"/>
    </xf>
    <xf numFmtId="167" fontId="34" fillId="0" borderId="0" xfId="0" applyNumberFormat="1" applyFont="1" applyAlignment="1">
      <alignment horizontal="center" vertical="center" wrapText="1"/>
    </xf>
    <xf numFmtId="2" fontId="34" fillId="0" borderId="0" xfId="0" applyNumberFormat="1" applyFont="1" applyAlignment="1">
      <alignment horizontal="center" vertical="center" wrapText="1"/>
    </xf>
    <xf numFmtId="0" fontId="9" fillId="13" borderId="0" xfId="0" applyFont="1" applyFill="1"/>
    <xf numFmtId="0" fontId="25" fillId="5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 wrapText="1"/>
    </xf>
    <xf numFmtId="0" fontId="27" fillId="9" borderId="0" xfId="0" applyFont="1" applyFill="1"/>
    <xf numFmtId="0" fontId="27" fillId="10" borderId="0" xfId="0" applyFont="1" applyFill="1"/>
    <xf numFmtId="0" fontId="55" fillId="10" borderId="0" xfId="0" applyFont="1" applyFill="1" applyAlignment="1">
      <alignment horizontal="left" vertical="center"/>
    </xf>
    <xf numFmtId="0" fontId="55" fillId="9" borderId="0" xfId="0" applyFont="1" applyFill="1" applyAlignment="1">
      <alignment horizontal="left" vertical="center"/>
    </xf>
    <xf numFmtId="0" fontId="55" fillId="18" borderId="0" xfId="0" applyFont="1" applyFill="1" applyAlignment="1">
      <alignment horizontal="left" vertical="center"/>
    </xf>
    <xf numFmtId="0" fontId="13" fillId="0" borderId="0" xfId="0" applyFont="1"/>
    <xf numFmtId="0" fontId="12" fillId="0" borderId="0" xfId="0" applyFont="1"/>
    <xf numFmtId="0" fontId="55" fillId="5" borderId="0" xfId="0" applyFont="1" applyFill="1" applyAlignment="1">
      <alignment horizontal="left" vertical="center"/>
    </xf>
    <xf numFmtId="0" fontId="55" fillId="8" borderId="0" xfId="0" applyFont="1" applyFill="1" applyAlignment="1">
      <alignment horizontal="left" vertical="center"/>
    </xf>
    <xf numFmtId="0" fontId="55" fillId="11" borderId="0" xfId="0" applyFont="1" applyFill="1" applyAlignment="1">
      <alignment horizontal="left" vertical="center"/>
    </xf>
    <xf numFmtId="0" fontId="3" fillId="0" borderId="0" xfId="0" applyFont="1"/>
    <xf numFmtId="0" fontId="3" fillId="12" borderId="0" xfId="0" applyFont="1" applyFill="1"/>
    <xf numFmtId="0" fontId="79" fillId="3" borderId="0" xfId="0" applyFont="1" applyFill="1"/>
    <xf numFmtId="0" fontId="71" fillId="0" borderId="0" xfId="0" applyFont="1"/>
    <xf numFmtId="0" fontId="37" fillId="0" borderId="6" xfId="0" applyFont="1" applyBorder="1" applyAlignment="1">
      <alignment vertical="center" wrapText="1"/>
    </xf>
    <xf numFmtId="0" fontId="35" fillId="0" borderId="0" xfId="0" applyFont="1"/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5" fillId="2" borderId="1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</cellXfs>
  <cellStyles count="1">
    <cellStyle name="Standard" xfId="0" builtinId="0"/>
  </cellStyles>
  <dxfs count="20">
    <dxf>
      <fill>
        <patternFill>
          <bgColor rgb="FFFCE4D6"/>
        </patternFill>
      </fill>
    </dxf>
    <dxf>
      <fill>
        <patternFill>
          <bgColor rgb="FFFCE4EC"/>
        </patternFill>
      </fill>
    </dxf>
    <dxf>
      <font>
        <b/>
        <color rgb="FF808080"/>
      </font>
      <fill>
        <patternFill>
          <bgColor rgb="FFEDEDED"/>
        </patternFill>
      </fill>
    </dxf>
    <dxf>
      <font>
        <b/>
        <color rgb="FF9C0006"/>
      </font>
      <fill>
        <patternFill>
          <bgColor rgb="FFFCE4EC"/>
        </patternFill>
      </fill>
    </dxf>
    <dxf>
      <font>
        <b/>
        <color rgb="FF1F4E79"/>
      </font>
      <fill>
        <patternFill>
          <bgColor rgb="FFD6E4F0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006100"/>
      </font>
      <fill>
        <patternFill>
          <bgColor rgb="FFC6EFCE"/>
        </patternFill>
      </fill>
    </dxf>
    <dxf>
      <font>
        <b/>
        <color rgb="FF006100"/>
      </font>
      <fill>
        <patternFill>
          <bgColor rgb="FFC6EFCE"/>
        </patternFill>
      </fill>
    </dxf>
    <dxf>
      <font>
        <b/>
        <color rgb="FF1F4E79"/>
      </font>
      <fill>
        <patternFill>
          <bgColor rgb="FFD6E4F0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9C0006"/>
      </font>
      <fill>
        <patternFill>
          <bgColor rgb="FFFFC7CE"/>
        </patternFill>
      </fill>
    </dxf>
    <dxf>
      <fill>
        <patternFill>
          <bgColor rgb="FFE2EFDA"/>
        </patternFill>
      </fill>
    </dxf>
    <dxf>
      <fill>
        <patternFill>
          <bgColor rgb="FFFCE4D6"/>
        </patternFill>
      </fill>
    </dxf>
    <dxf>
      <fill>
        <patternFill>
          <bgColor rgb="FFFCE4EC"/>
        </patternFill>
      </fill>
    </dxf>
    <dxf>
      <font>
        <b/>
        <color rgb="FF006100"/>
      </font>
      <fill>
        <patternFill>
          <bgColor rgb="FFC6EFCE"/>
        </patternFill>
      </fill>
    </dxf>
    <dxf>
      <font>
        <b/>
        <color rgb="FF9C6500"/>
      </font>
      <fill>
        <patternFill>
          <bgColor rgb="FFFFF2CC"/>
        </patternFill>
      </fill>
    </dxf>
    <dxf>
      <font>
        <b/>
        <color rgb="FF9C0006"/>
      </font>
      <fill>
        <patternFill>
          <bgColor rgb="FFFFC7CE"/>
        </patternFill>
      </fill>
    </dxf>
    <dxf>
      <font>
        <b/>
        <sz val="12"/>
        <color rgb="FF70AD47"/>
        <name val="Arial"/>
        <charset val="1"/>
      </font>
      <fill>
        <patternFill>
          <bgColor rgb="FFE2EFDA"/>
        </patternFill>
      </fill>
    </dxf>
    <dxf>
      <font>
        <b/>
        <sz val="12"/>
        <color rgb="FFED7D31"/>
        <name val="Arial"/>
        <charset val="1"/>
      </font>
      <fill>
        <patternFill>
          <bgColor rgb="FFFCE4D6"/>
        </patternFill>
      </fill>
    </dxf>
    <dxf>
      <font>
        <b/>
        <sz val="12"/>
        <color rgb="FFC00000"/>
        <name val="Arial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EDEDED"/>
      <rgbColor rgb="FF0000FF"/>
      <rgbColor rgb="FFFFDAB9"/>
      <rgbColor rgb="FFFCE4EC"/>
      <rgbColor rgb="FFD9D9D9"/>
      <rgbColor rgb="FF9C0006"/>
      <rgbColor rgb="FF006100"/>
      <rgbColor rgb="FF000044"/>
      <rgbColor rgb="FF9C6500"/>
      <rgbColor rgb="FF7F7F7F"/>
      <rgbColor rgb="FF2980B9"/>
      <rgbColor rgb="FFBFBFBF"/>
      <rgbColor rgb="FF808080"/>
      <rgbColor rgb="FFA6A6A6"/>
      <rgbColor rgb="FFC0392B"/>
      <rgbColor rgb="FFFFF3CD"/>
      <rgbColor rgb="FFE2EFDA"/>
      <rgbColor rgb="FF660066"/>
      <rgbColor rgb="FFED7D31"/>
      <rgbColor rgb="FF1F4E79"/>
      <rgbColor rgb="FFD0D0D0"/>
      <rgbColor rgb="FF000080"/>
      <rgbColor rgb="FFF2F2F2"/>
      <rgbColor rgb="FFFCE4D6"/>
      <rgbColor rgb="FFEBF1DE"/>
      <rgbColor rgb="FF878787"/>
      <rgbColor rgb="FF800000"/>
      <rgbColor rgb="FF3A608D"/>
      <rgbColor rgb="FF0000FF"/>
      <rgbColor rgb="FF4C7DB7"/>
      <rgbColor rgb="FFD6E4F0"/>
      <rgbColor rgb="FFC6EFCE"/>
      <rgbColor rgb="FFFFF2CC"/>
      <rgbColor rgb="FF99CCFF"/>
      <rgbColor rgb="FFFFC7CE"/>
      <rgbColor rgb="FFB3B3B3"/>
      <rgbColor rgb="FFFCD5B5"/>
      <rgbColor rgb="FF4472C4"/>
      <rgbColor rgb="FF72C488"/>
      <rgbColor rgb="FF70AD47"/>
      <rgbColor rgb="FFFFC000"/>
      <rgbColor rgb="FF948A54"/>
      <rgbColor rgb="FFE67E22"/>
      <rgbColor rgb="FF666666"/>
      <rgbColor rgb="FFA0A0A0"/>
      <rgbColor rgb="FF1B2A4A"/>
      <rgbColor rgb="FF27AE60"/>
      <rgbColor rgb="FF003300"/>
      <rgbColor rgb="FF555555"/>
      <rgbColor rgb="FF9C4000"/>
      <rgbColor rgb="FF6B3FA0"/>
      <rgbColor rgb="FF2E5090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CH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CH" sz="1800" b="1" strike="noStrike" spc="-1">
                <a:solidFill>
                  <a:srgbClr val="000000"/>
                </a:solidFill>
                <a:latin typeface="Calibri"/>
              </a:rPr>
              <a:t>Maturitäts-Profil (IST vs. SOLL)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strRef>
              <c:f>Dashboard!$C$17</c:f>
              <c:strCache>
                <c:ptCount val="1"/>
                <c:pt idx="0">
                  <c:v>IST</c:v>
                </c:pt>
              </c:strCache>
            </c:strRef>
          </c:tx>
          <c:spPr>
            <a:solidFill>
              <a:srgbClr val="72C488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Dashboard!$B$18:$B$23</c:f>
              <c:strCache>
                <c:ptCount val="6"/>
                <c:pt idx="0">
                  <c:v>Govern</c:v>
                </c:pt>
                <c:pt idx="1">
                  <c:v>Identify</c:v>
                </c:pt>
                <c:pt idx="2">
                  <c:v>Protect</c:v>
                </c:pt>
                <c:pt idx="3">
                  <c:v>Detect</c:v>
                </c:pt>
                <c:pt idx="4">
                  <c:v>Respond</c:v>
                </c:pt>
                <c:pt idx="5">
                  <c:v>Recover</c:v>
                </c:pt>
              </c:strCache>
            </c:strRef>
          </c:cat>
          <c:val>
            <c:numRef>
              <c:f>Dashboard!$C$18:$C$23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15-3D4D-BE7A-6266DFC1F2FD}"/>
            </c:ext>
          </c:extLst>
        </c:ser>
        <c:ser>
          <c:idx val="1"/>
          <c:order val="1"/>
          <c:tx>
            <c:strRef>
              <c:f>Dashboard!$D$17</c:f>
              <c:strCache>
                <c:ptCount val="1"/>
                <c:pt idx="0">
                  <c:v>SOLL</c:v>
                </c:pt>
              </c:strCache>
            </c:strRef>
          </c:tx>
          <c:spPr>
            <a:solidFill>
              <a:srgbClr val="000044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Dashboard!$B$18:$B$23</c:f>
              <c:strCache>
                <c:ptCount val="6"/>
                <c:pt idx="0">
                  <c:v>Govern</c:v>
                </c:pt>
                <c:pt idx="1">
                  <c:v>Identify</c:v>
                </c:pt>
                <c:pt idx="2">
                  <c:v>Protect</c:v>
                </c:pt>
                <c:pt idx="3">
                  <c:v>Detect</c:v>
                </c:pt>
                <c:pt idx="4">
                  <c:v>Respond</c:v>
                </c:pt>
                <c:pt idx="5">
                  <c:v>Recover</c:v>
                </c:pt>
              </c:strCache>
            </c:strRef>
          </c:cat>
          <c:val>
            <c:numRef>
              <c:f>Dashboard!$D$18:$D$23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15-3D4D-BE7A-6266DFC1F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14642"/>
        <c:axId val="54249016"/>
      </c:radarChart>
      <c:catAx>
        <c:axId val="4361464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4249016"/>
        <c:crosses val="autoZero"/>
        <c:auto val="1"/>
        <c:lblAlgn val="ctr"/>
        <c:lblOffset val="100"/>
        <c:noMultiLvlLbl val="0"/>
      </c:catAx>
      <c:valAx>
        <c:axId val="5424901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3614642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CH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CH" sz="1800" b="1" strike="noStrike" spc="-1">
                <a:solidFill>
                  <a:srgbClr val="000000"/>
                </a:solidFill>
                <a:latin typeface="Calibri"/>
              </a:rPr>
              <a:t>Handlungsbedarf (Gap = SOLL minus IST)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Dashboard!$E$17</c:f>
              <c:strCache>
                <c:ptCount val="1"/>
                <c:pt idx="0">
                  <c:v>Gap</c:v>
                </c:pt>
              </c:strCache>
            </c:strRef>
          </c:tx>
          <c:spPr>
            <a:solidFill>
              <a:srgbClr val="ED7D31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Dashboard!$B$18:$B$23</c:f>
              <c:strCache>
                <c:ptCount val="6"/>
                <c:pt idx="0">
                  <c:v>Govern</c:v>
                </c:pt>
                <c:pt idx="1">
                  <c:v>Identify</c:v>
                </c:pt>
                <c:pt idx="2">
                  <c:v>Protect</c:v>
                </c:pt>
                <c:pt idx="3">
                  <c:v>Detect</c:v>
                </c:pt>
                <c:pt idx="4">
                  <c:v>Respond</c:v>
                </c:pt>
                <c:pt idx="5">
                  <c:v>Recover</c:v>
                </c:pt>
              </c:strCache>
            </c:strRef>
          </c:cat>
          <c:val>
            <c:numRef>
              <c:f>Dashboard!$E$18:$E$23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9-1946-AD0C-8749A4884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274535"/>
        <c:axId val="16098541"/>
      </c:barChart>
      <c:catAx>
        <c:axId val="9827453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6098541"/>
        <c:crosses val="autoZero"/>
        <c:auto val="1"/>
        <c:lblAlgn val="ctr"/>
        <c:lblOffset val="100"/>
        <c:noMultiLvlLbl val="0"/>
      </c:catAx>
      <c:valAx>
        <c:axId val="1609854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CH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CH" sz="1000" b="1" strike="noStrike" spc="-1">
                    <a:solidFill>
                      <a:srgbClr val="000000"/>
                    </a:solidFill>
                    <a:latin typeface="Calibri"/>
                  </a:rPr>
                  <a:t>Gap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827453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CH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CH" sz="1800" b="1" strike="noStrike" spc="-1">
                <a:solidFill>
                  <a:srgbClr val="000000"/>
                </a:solidFill>
                <a:latin typeface="Calibri"/>
              </a:rPr>
              <a:t>Finanzvergleich (CHF)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Dashboard!$C$49</c:f>
              <c:strCache>
                <c:ptCount val="1"/>
                <c:pt idx="0">
                  <c:v>CHF</c:v>
                </c:pt>
              </c:strCache>
            </c:strRef>
          </c:tx>
          <c:spPr>
            <a:gradFill>
              <a:gsLst>
                <a:gs pos="0">
                  <a:srgbClr val="3A608D"/>
                </a:gs>
                <a:gs pos="80000">
                  <a:srgbClr val="4C7CB7"/>
                </a:gs>
                <a:gs pos="100000">
                  <a:srgbClr val="4C7DB7"/>
                </a:gs>
              </a:gsLst>
              <a:lin ang="16200000"/>
            </a:gra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FE30-2741-85DE-ED1EA9E95EC1}"/>
              </c:ext>
            </c:extLst>
          </c:dPt>
          <c:dPt>
            <c:idx val="1"/>
            <c:invertIfNegative val="0"/>
            <c:bubble3D val="0"/>
            <c:spPr>
              <a:solidFill>
                <a:srgbClr val="2E509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FE30-2741-85DE-ED1EA9E95EC1}"/>
              </c:ext>
            </c:extLst>
          </c:dPt>
          <c:dPt>
            <c:idx val="2"/>
            <c:invertIfNegative val="0"/>
            <c:bubble3D val="0"/>
            <c:spPr>
              <a:solidFill>
                <a:srgbClr val="70AD4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FE30-2741-85DE-ED1EA9E95EC1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outEnd"/>
              <c:showLegendKey val="1"/>
              <c:showVal val="1"/>
              <c:showCatName val="1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30-2741-85DE-ED1EA9E95EC1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outEnd"/>
              <c:showLegendKey val="1"/>
              <c:showVal val="1"/>
              <c:showCatName val="1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30-2741-85DE-ED1EA9E95EC1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outEnd"/>
              <c:showLegendKey val="1"/>
              <c:showVal val="1"/>
              <c:showCatName val="1"/>
              <c:showSerName val="1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30-2741-85DE-ED1EA9E95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1"/>
            <c:showVal val="1"/>
            <c:showCatName val="1"/>
            <c:showSerName val="1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Dashboard!$B$50:$B$52</c:f>
              <c:strCache>
                <c:ptCount val="3"/>
                <c:pt idx="0">
                  <c:v>Möglicher Schaden</c:v>
                </c:pt>
                <c:pt idx="1">
                  <c:v>Aktuelles Budget</c:v>
                </c:pt>
                <c:pt idx="2">
                  <c:v>Empfohlenes Budget</c:v>
                </c:pt>
              </c:strCache>
            </c:strRef>
          </c:cat>
          <c:val>
            <c:numRef>
              <c:f>Dashboard!$C$50:$C$52</c:f>
              <c:numCache>
                <c:formatCode>0.0</c:formatCode>
                <c:ptCount val="3"/>
                <c:pt idx="0">
                  <c:v>50000</c:v>
                </c:pt>
                <c:pt idx="1">
                  <c:v>0</c:v>
                </c:pt>
                <c:pt idx="2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30-2741-85DE-ED1EA9E95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81949"/>
        <c:axId val="74352554"/>
      </c:barChart>
      <c:catAx>
        <c:axId val="3088194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4352554"/>
        <c:crosses val="autoZero"/>
        <c:auto val="1"/>
        <c:lblAlgn val="ctr"/>
        <c:lblOffset val="100"/>
        <c:noMultiLvlLbl val="0"/>
      </c:catAx>
      <c:valAx>
        <c:axId val="7435255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088194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CH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CH" sz="1800" b="1" strike="noStrike" spc="-1">
                <a:solidFill>
                  <a:srgbClr val="000000"/>
                </a:solidFill>
                <a:latin typeface="Calibri"/>
              </a:rPr>
              <a:t>NIST CSF 2.0 — IST vs. SOLL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strRef>
              <c:f>Ergebnisse!$C$15</c:f>
              <c:strCache>
                <c:ptCount val="1"/>
                <c:pt idx="0">
                  <c:v>IST</c:v>
                </c:pt>
              </c:strCache>
            </c:strRef>
          </c:tx>
          <c:spPr>
            <a:solidFill>
              <a:srgbClr val="4472C4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Ergebnisse!$B$16:$B$21</c:f>
              <c:strCache>
                <c:ptCount val="6"/>
                <c:pt idx="0">
                  <c:v>Govern</c:v>
                </c:pt>
                <c:pt idx="1">
                  <c:v>Identify</c:v>
                </c:pt>
                <c:pt idx="2">
                  <c:v>Protect</c:v>
                </c:pt>
                <c:pt idx="3">
                  <c:v>Detect</c:v>
                </c:pt>
                <c:pt idx="4">
                  <c:v>Respond</c:v>
                </c:pt>
                <c:pt idx="5">
                  <c:v>Recover</c:v>
                </c:pt>
              </c:strCache>
            </c:strRef>
          </c:cat>
          <c:val>
            <c:numRef>
              <c:f>Ergebnisse!$C$16:$C$21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B-E14F-9C92-ED81AF7A240B}"/>
            </c:ext>
          </c:extLst>
        </c:ser>
        <c:ser>
          <c:idx val="1"/>
          <c:order val="1"/>
          <c:tx>
            <c:strRef>
              <c:f>Ergebnisse!$D$15</c:f>
              <c:strCache>
                <c:ptCount val="1"/>
                <c:pt idx="0">
                  <c:v>SOLL</c:v>
                </c:pt>
              </c:strCache>
            </c:strRef>
          </c:tx>
          <c:spPr>
            <a:solidFill>
              <a:srgbClr val="000044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Ergebnisse!$B$16:$B$21</c:f>
              <c:strCache>
                <c:ptCount val="6"/>
                <c:pt idx="0">
                  <c:v>Govern</c:v>
                </c:pt>
                <c:pt idx="1">
                  <c:v>Identify</c:v>
                </c:pt>
                <c:pt idx="2">
                  <c:v>Protect</c:v>
                </c:pt>
                <c:pt idx="3">
                  <c:v>Detect</c:v>
                </c:pt>
                <c:pt idx="4">
                  <c:v>Respond</c:v>
                </c:pt>
                <c:pt idx="5">
                  <c:v>Recover</c:v>
                </c:pt>
              </c:strCache>
            </c:strRef>
          </c:cat>
          <c:val>
            <c:numRef>
              <c:f>Ergebnisse!$D$16:$D$21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B-E14F-9C92-ED81AF7A2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469316"/>
        <c:axId val="99828451"/>
      </c:radarChart>
      <c:catAx>
        <c:axId val="81469316"/>
        <c:scaling>
          <c:orientation val="maxMin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9828451"/>
        <c:crosses val="autoZero"/>
        <c:auto val="1"/>
        <c:lblAlgn val="ctr"/>
        <c:lblOffset val="100"/>
        <c:noMultiLvlLbl val="0"/>
      </c:catAx>
      <c:valAx>
        <c:axId val="9982845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1469316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CH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CH" sz="1800" b="1" strike="noStrike" spc="-1">
                <a:solidFill>
                  <a:srgbClr val="000000"/>
                </a:solidFill>
                <a:latin typeface="Calibri"/>
              </a:rPr>
              <a:t>Handlungsbedarf nach NIST-Funktion (Gap)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Ergebnisse!$C$48</c:f>
              <c:strCache>
                <c:ptCount val="1"/>
                <c:pt idx="0">
                  <c:v>Gap</c:v>
                </c:pt>
              </c:strCache>
            </c:strRef>
          </c:tx>
          <c:spPr>
            <a:solidFill>
              <a:srgbClr val="ED7D31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Ergebnisse!$B$49:$B$54</c:f>
              <c:strCache>
                <c:ptCount val="6"/>
                <c:pt idx="0">
                  <c:v>Govern</c:v>
                </c:pt>
                <c:pt idx="1">
                  <c:v>Identify</c:v>
                </c:pt>
                <c:pt idx="2">
                  <c:v>Protect</c:v>
                </c:pt>
                <c:pt idx="3">
                  <c:v>Detect</c:v>
                </c:pt>
                <c:pt idx="4">
                  <c:v>Respond</c:v>
                </c:pt>
                <c:pt idx="5">
                  <c:v>Recover</c:v>
                </c:pt>
              </c:strCache>
            </c:strRef>
          </c:cat>
          <c:val>
            <c:numRef>
              <c:f>Ergebnisse!$C$49:$C$54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0B-0D46-A563-CA9A80B02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28323"/>
        <c:axId val="39273555"/>
      </c:barChart>
      <c:catAx>
        <c:axId val="1362832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9273555"/>
        <c:crosses val="autoZero"/>
        <c:auto val="1"/>
        <c:lblAlgn val="ctr"/>
        <c:lblOffset val="100"/>
        <c:noMultiLvlLbl val="0"/>
      </c:catAx>
      <c:valAx>
        <c:axId val="3927355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de-CH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CH" sz="1000" b="1" strike="noStrike" spc="-1">
                    <a:solidFill>
                      <a:srgbClr val="000000"/>
                    </a:solidFill>
                    <a:latin typeface="Calibri"/>
                  </a:rPr>
                  <a:t>Gap (SOLL - IST)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362832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104760</xdr:colOff>
      <xdr:row>0</xdr:row>
      <xdr:rowOff>469080</xdr:rowOff>
    </xdr:from>
    <xdr:to>
      <xdr:col>22</xdr:col>
      <xdr:colOff>338040</xdr:colOff>
      <xdr:row>13</xdr:row>
      <xdr:rowOff>3600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77040</xdr:colOff>
      <xdr:row>13</xdr:row>
      <xdr:rowOff>232200</xdr:rowOff>
    </xdr:from>
    <xdr:to>
      <xdr:col>27</xdr:col>
      <xdr:colOff>382320</xdr:colOff>
      <xdr:row>42</xdr:row>
      <xdr:rowOff>167400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81000</xdr:colOff>
      <xdr:row>42</xdr:row>
      <xdr:rowOff>372960</xdr:rowOff>
    </xdr:from>
    <xdr:to>
      <xdr:col>25</xdr:col>
      <xdr:colOff>372240</xdr:colOff>
      <xdr:row>61</xdr:row>
      <xdr:rowOff>8640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171360</xdr:colOff>
      <xdr:row>12</xdr:row>
      <xdr:rowOff>111960</xdr:rowOff>
    </xdr:from>
    <xdr:to>
      <xdr:col>5</xdr:col>
      <xdr:colOff>524880</xdr:colOff>
      <xdr:row>39</xdr:row>
      <xdr:rowOff>2880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171360</xdr:colOff>
      <xdr:row>40</xdr:row>
      <xdr:rowOff>111600</xdr:rowOff>
    </xdr:from>
    <xdr:to>
      <xdr:col>5</xdr:col>
      <xdr:colOff>524880</xdr:colOff>
      <xdr:row>63</xdr:row>
      <xdr:rowOff>44640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</sheetPr>
  <dimension ref="B2:C53"/>
  <sheetViews>
    <sheetView showGridLines="0" tabSelected="1" zoomScaleNormal="100" workbookViewId="0">
      <selection activeCell="B55" sqref="B55"/>
    </sheetView>
  </sheetViews>
  <sheetFormatPr baseColWidth="10" defaultColWidth="8.7109375" defaultRowHeight="15" x14ac:dyDescent="0.25"/>
  <cols>
    <col min="1" max="1" width="3" customWidth="1"/>
    <col min="2" max="2" width="76.7109375" customWidth="1"/>
    <col min="3" max="3" width="40" customWidth="1"/>
    <col min="4" max="4" width="3" customWidth="1"/>
  </cols>
  <sheetData>
    <row r="2" spans="2:2" ht="24" customHeight="1" x14ac:dyDescent="0.4">
      <c r="B2" s="2" t="s">
        <v>0</v>
      </c>
    </row>
    <row r="3" spans="2:2" ht="15" customHeight="1" x14ac:dyDescent="0.25">
      <c r="B3" s="3" t="s">
        <v>1</v>
      </c>
    </row>
    <row r="5" spans="2:2" ht="15" customHeight="1" x14ac:dyDescent="0.25">
      <c r="B5" s="4" t="s">
        <v>2</v>
      </c>
    </row>
    <row r="7" spans="2:2" ht="15" customHeight="1" x14ac:dyDescent="0.25">
      <c r="B7" s="5" t="s">
        <v>3</v>
      </c>
    </row>
    <row r="8" spans="2:2" ht="39.75" customHeight="1" x14ac:dyDescent="0.25">
      <c r="B8" s="6" t="s">
        <v>4</v>
      </c>
    </row>
    <row r="10" spans="2:2" ht="15" customHeight="1" x14ac:dyDescent="0.25">
      <c r="B10" s="5" t="s">
        <v>5</v>
      </c>
    </row>
    <row r="11" spans="2:2" ht="39.75" customHeight="1" x14ac:dyDescent="0.25">
      <c r="B11" s="6" t="s">
        <v>6</v>
      </c>
    </row>
    <row r="13" spans="2:2" ht="15" customHeight="1" x14ac:dyDescent="0.25">
      <c r="B13" s="5" t="s">
        <v>7</v>
      </c>
    </row>
    <row r="14" spans="2:2" ht="39.75" customHeight="1" x14ac:dyDescent="0.25">
      <c r="B14" s="6" t="s">
        <v>8</v>
      </c>
    </row>
    <row r="16" spans="2:2" ht="15" customHeight="1" x14ac:dyDescent="0.25">
      <c r="B16" s="5" t="s">
        <v>9</v>
      </c>
    </row>
    <row r="17" spans="2:3" ht="39.75" customHeight="1" x14ac:dyDescent="0.25">
      <c r="B17" s="6" t="s">
        <v>10</v>
      </c>
    </row>
    <row r="19" spans="2:3" ht="15" customHeight="1" x14ac:dyDescent="0.25">
      <c r="B19" s="5" t="s">
        <v>11</v>
      </c>
    </row>
    <row r="20" spans="2:3" ht="39.75" customHeight="1" x14ac:dyDescent="0.25">
      <c r="B20" s="6" t="s">
        <v>12</v>
      </c>
    </row>
    <row r="22" spans="2:3" ht="15" customHeight="1" x14ac:dyDescent="0.25">
      <c r="B22" s="5" t="s">
        <v>13</v>
      </c>
    </row>
    <row r="23" spans="2:3" ht="38.25" customHeight="1" x14ac:dyDescent="0.25">
      <c r="B23" s="6" t="s">
        <v>14</v>
      </c>
    </row>
    <row r="24" spans="2:3" ht="15" customHeight="1" x14ac:dyDescent="0.25">
      <c r="B24" s="7"/>
      <c r="C24" s="8"/>
    </row>
    <row r="25" spans="2:3" ht="15" customHeight="1" x14ac:dyDescent="0.25">
      <c r="B25" s="5" t="s">
        <v>15</v>
      </c>
      <c r="C25" s="8"/>
    </row>
    <row r="26" spans="2:3" ht="38.25" customHeight="1" x14ac:dyDescent="0.25">
      <c r="B26" s="6" t="s">
        <v>16</v>
      </c>
      <c r="C26" s="8"/>
    </row>
    <row r="27" spans="2:3" ht="15" customHeight="1" x14ac:dyDescent="0.25">
      <c r="B27" s="7"/>
      <c r="C27" s="8"/>
    </row>
    <row r="28" spans="2:3" ht="15" customHeight="1" x14ac:dyDescent="0.25">
      <c r="B28" s="7"/>
      <c r="C28" s="8"/>
    </row>
    <row r="31" spans="2:3" ht="15" customHeight="1" x14ac:dyDescent="0.25">
      <c r="B31" s="4" t="s">
        <v>17</v>
      </c>
    </row>
    <row r="32" spans="2:3" ht="15" customHeight="1" x14ac:dyDescent="0.25">
      <c r="B32" s="9" t="s">
        <v>18</v>
      </c>
    </row>
    <row r="33" spans="2:2" ht="15" customHeight="1" x14ac:dyDescent="0.25">
      <c r="B33" s="8" t="s">
        <v>19</v>
      </c>
    </row>
    <row r="36" spans="2:2" ht="34.5" customHeight="1" x14ac:dyDescent="0.25">
      <c r="B36" s="10" t="s">
        <v>20</v>
      </c>
    </row>
    <row r="38" spans="2:2" ht="15" customHeight="1" x14ac:dyDescent="0.25">
      <c r="B38" s="11" t="s">
        <v>21</v>
      </c>
    </row>
    <row r="39" spans="2:2" ht="15" customHeight="1" x14ac:dyDescent="0.25">
      <c r="B39" s="8" t="s">
        <v>22</v>
      </c>
    </row>
    <row r="40" spans="2:2" ht="15" customHeight="1" x14ac:dyDescent="0.25">
      <c r="B40" s="12" t="s">
        <v>23</v>
      </c>
    </row>
    <row r="41" spans="2:2" ht="15" customHeight="1" x14ac:dyDescent="0.25">
      <c r="B41" s="8" t="s">
        <v>24</v>
      </c>
    </row>
    <row r="42" spans="2:2" ht="15" customHeight="1" x14ac:dyDescent="0.25">
      <c r="B42" s="8" t="s">
        <v>25</v>
      </c>
    </row>
    <row r="44" spans="2:2" ht="15" customHeight="1" x14ac:dyDescent="0.25">
      <c r="B44" s="8" t="s">
        <v>26</v>
      </c>
    </row>
    <row r="45" spans="2:2" ht="15" customHeight="1" x14ac:dyDescent="0.25">
      <c r="B45" s="8" t="s">
        <v>27</v>
      </c>
    </row>
    <row r="46" spans="2:2" ht="15" customHeight="1" x14ac:dyDescent="0.25">
      <c r="B46" s="8" t="s">
        <v>28</v>
      </c>
    </row>
    <row r="47" spans="2:2" ht="15" customHeight="1" x14ac:dyDescent="0.25">
      <c r="B47" s="8" t="s">
        <v>29</v>
      </c>
    </row>
    <row r="48" spans="2:2" ht="15" customHeight="1" x14ac:dyDescent="0.25">
      <c r="B48" s="8" t="s">
        <v>30</v>
      </c>
    </row>
    <row r="50" spans="2:2" ht="15" customHeight="1" x14ac:dyDescent="0.25">
      <c r="B50" s="13" t="s">
        <v>31</v>
      </c>
    </row>
    <row r="51" spans="2:2" ht="15" customHeight="1" x14ac:dyDescent="0.25">
      <c r="B51" s="13" t="s">
        <v>32</v>
      </c>
    </row>
    <row r="53" spans="2:2" ht="15" customHeight="1" x14ac:dyDescent="0.25">
      <c r="B53" s="14" t="s">
        <v>33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6B3FA0"/>
  </sheetPr>
  <dimension ref="B2:K51"/>
  <sheetViews>
    <sheetView showGridLines="0" zoomScaleNormal="100" workbookViewId="0">
      <selection activeCell="G6" sqref="G6"/>
    </sheetView>
  </sheetViews>
  <sheetFormatPr baseColWidth="10" defaultColWidth="8.7109375" defaultRowHeight="15" x14ac:dyDescent="0.25"/>
  <cols>
    <col min="1" max="1" width="3" customWidth="1"/>
    <col min="2" max="2" width="12" customWidth="1"/>
    <col min="3" max="3" width="35" customWidth="1"/>
    <col min="4" max="5" width="14" customWidth="1"/>
    <col min="6" max="6" width="18" customWidth="1"/>
    <col min="7" max="7" width="22" customWidth="1"/>
    <col min="8" max="9" width="20" customWidth="1"/>
    <col min="10" max="10" width="18" customWidth="1"/>
    <col min="11" max="11" width="35" customWidth="1"/>
  </cols>
  <sheetData>
    <row r="2" spans="2:11" ht="19.5" customHeight="1" x14ac:dyDescent="0.35">
      <c r="B2" s="239" t="s">
        <v>449</v>
      </c>
      <c r="C2" s="239"/>
      <c r="D2" s="239"/>
      <c r="E2" s="239"/>
      <c r="F2" s="239"/>
      <c r="G2" s="239"/>
      <c r="H2" s="239"/>
      <c r="I2" s="239"/>
      <c r="J2" s="239"/>
      <c r="K2" s="239"/>
    </row>
    <row r="3" spans="2:11" ht="15" customHeight="1" x14ac:dyDescent="0.25">
      <c r="B3" s="14" t="s">
        <v>450</v>
      </c>
    </row>
    <row r="5" spans="2:11" ht="30" customHeight="1" x14ac:dyDescent="0.25">
      <c r="B5" s="1" t="s">
        <v>171</v>
      </c>
      <c r="C5" s="1" t="s">
        <v>172</v>
      </c>
      <c r="D5" s="1" t="s">
        <v>101</v>
      </c>
      <c r="E5" s="1" t="s">
        <v>102</v>
      </c>
      <c r="F5" s="1" t="s">
        <v>103</v>
      </c>
      <c r="G5" s="1" t="s">
        <v>451</v>
      </c>
      <c r="H5" s="1" t="s">
        <v>452</v>
      </c>
      <c r="I5" s="1" t="s">
        <v>453</v>
      </c>
      <c r="J5" s="1" t="s">
        <v>454</v>
      </c>
      <c r="K5" s="1" t="s">
        <v>455</v>
      </c>
    </row>
    <row r="6" spans="2:11" ht="30" customHeight="1" x14ac:dyDescent="0.25">
      <c r="B6" s="122" t="s">
        <v>191</v>
      </c>
      <c r="C6" s="182" t="s">
        <v>380</v>
      </c>
      <c r="D6" s="126" t="str">
        <f>IF(Bewertung!F7="","—",LEFT(Bewertung!F7,1))</f>
        <v>—</v>
      </c>
      <c r="E6" s="126" t="str">
        <f>IF(Bewertung!G7="","—",LEFT(Bewertung!G7,1))</f>
        <v>—</v>
      </c>
      <c r="F6" s="125" t="str">
        <f>IF(Bewertung!H7="","",Bewertung!H7)</f>
        <v/>
      </c>
      <c r="G6" s="250" t="s">
        <v>456</v>
      </c>
      <c r="H6" s="254"/>
      <c r="I6" s="254"/>
      <c r="J6" s="255"/>
      <c r="K6" s="256"/>
    </row>
    <row r="7" spans="2:11" ht="30" customHeight="1" x14ac:dyDescent="0.25">
      <c r="B7" s="122" t="s">
        <v>194</v>
      </c>
      <c r="C7" s="182" t="s">
        <v>457</v>
      </c>
      <c r="D7" s="126" t="str">
        <f>IF(Bewertung!F8="","—",LEFT(Bewertung!F8,1))</f>
        <v>—</v>
      </c>
      <c r="E7" s="126" t="str">
        <f>IF(Bewertung!G8="","—",LEFT(Bewertung!G8,1))</f>
        <v>—</v>
      </c>
      <c r="F7" s="125" t="str">
        <f>IF(Bewertung!H8="","",Bewertung!H8)</f>
        <v/>
      </c>
      <c r="G7" s="250" t="s">
        <v>456</v>
      </c>
      <c r="H7" s="254"/>
      <c r="I7" s="254"/>
      <c r="J7" s="255"/>
      <c r="K7" s="256"/>
    </row>
    <row r="8" spans="2:11" ht="30" customHeight="1" x14ac:dyDescent="0.25">
      <c r="B8" s="122" t="s">
        <v>197</v>
      </c>
      <c r="C8" s="182" t="s">
        <v>458</v>
      </c>
      <c r="D8" s="126" t="str">
        <f>IF(Bewertung!F9="","—",LEFT(Bewertung!F9,1))</f>
        <v>—</v>
      </c>
      <c r="E8" s="126" t="str">
        <f>IF(Bewertung!G9="","—",LEFT(Bewertung!G9,1))</f>
        <v>—</v>
      </c>
      <c r="F8" s="125" t="str">
        <f>IF(Bewertung!H9="","",Bewertung!H9)</f>
        <v/>
      </c>
      <c r="G8" s="250" t="s">
        <v>456</v>
      </c>
      <c r="H8" s="254"/>
      <c r="I8" s="254"/>
      <c r="J8" s="255"/>
      <c r="K8" s="256"/>
    </row>
    <row r="9" spans="2:11" ht="30" customHeight="1" x14ac:dyDescent="0.25">
      <c r="B9" s="122" t="s">
        <v>200</v>
      </c>
      <c r="C9" s="182" t="s">
        <v>459</v>
      </c>
      <c r="D9" s="126" t="str">
        <f>IF(Bewertung!F10="","—",LEFT(Bewertung!F10,1))</f>
        <v>—</v>
      </c>
      <c r="E9" s="126" t="str">
        <f>IF(Bewertung!G10="","—",LEFT(Bewertung!G10,1))</f>
        <v>—</v>
      </c>
      <c r="F9" s="125" t="str">
        <f>IF(Bewertung!H10="","",Bewertung!H10)</f>
        <v/>
      </c>
      <c r="G9" s="250" t="s">
        <v>456</v>
      </c>
      <c r="H9" s="254"/>
      <c r="I9" s="254"/>
      <c r="J9" s="255"/>
      <c r="K9" s="256"/>
    </row>
    <row r="10" spans="2:11" ht="30" customHeight="1" x14ac:dyDescent="0.25">
      <c r="B10" s="122" t="s">
        <v>203</v>
      </c>
      <c r="C10" s="182" t="s">
        <v>460</v>
      </c>
      <c r="D10" s="126" t="str">
        <f>IF(Bewertung!F11="","—",LEFT(Bewertung!F11,1))</f>
        <v>—</v>
      </c>
      <c r="E10" s="126" t="str">
        <f>IF(Bewertung!G11="","—",LEFT(Bewertung!G11,1))</f>
        <v>—</v>
      </c>
      <c r="F10" s="125" t="str">
        <f>IF(Bewertung!H11="","",Bewertung!H11)</f>
        <v/>
      </c>
      <c r="G10" s="250" t="s">
        <v>456</v>
      </c>
      <c r="H10" s="254"/>
      <c r="I10" s="254"/>
      <c r="J10" s="255"/>
      <c r="K10" s="256"/>
    </row>
    <row r="11" spans="2:11" ht="30" customHeight="1" x14ac:dyDescent="0.25">
      <c r="B11" s="122" t="s">
        <v>206</v>
      </c>
      <c r="C11" s="182" t="s">
        <v>461</v>
      </c>
      <c r="D11" s="126" t="str">
        <f>IF(Bewertung!F12="","—",LEFT(Bewertung!F12,1))</f>
        <v>—</v>
      </c>
      <c r="E11" s="126" t="str">
        <f>IF(Bewertung!G12="","—",LEFT(Bewertung!G12,1))</f>
        <v>—</v>
      </c>
      <c r="F11" s="125" t="str">
        <f>IF(Bewertung!H12="","",Bewertung!H12)</f>
        <v/>
      </c>
      <c r="G11" s="250" t="s">
        <v>456</v>
      </c>
      <c r="H11" s="254"/>
      <c r="I11" s="254"/>
      <c r="J11" s="255"/>
      <c r="K11" s="256"/>
    </row>
    <row r="12" spans="2:11" ht="30" customHeight="1" x14ac:dyDescent="0.25">
      <c r="B12" s="127" t="s">
        <v>210</v>
      </c>
      <c r="C12" s="182" t="s">
        <v>390</v>
      </c>
      <c r="D12" s="126" t="str">
        <f>IF(Bewertung!F14="","—",LEFT(Bewertung!F14,1))</f>
        <v>—</v>
      </c>
      <c r="E12" s="126" t="str">
        <f>IF(Bewertung!G14="","—",LEFT(Bewertung!G14,1))</f>
        <v>—</v>
      </c>
      <c r="F12" s="125" t="str">
        <f>IF(Bewertung!H14="","",Bewertung!H14)</f>
        <v/>
      </c>
      <c r="G12" s="250" t="s">
        <v>456</v>
      </c>
      <c r="H12" s="254"/>
      <c r="I12" s="254"/>
      <c r="J12" s="255"/>
      <c r="K12" s="256"/>
    </row>
    <row r="13" spans="2:11" ht="30" customHeight="1" x14ac:dyDescent="0.25">
      <c r="B13" s="127" t="s">
        <v>213</v>
      </c>
      <c r="C13" s="182" t="s">
        <v>391</v>
      </c>
      <c r="D13" s="126" t="str">
        <f>IF(Bewertung!F15="","—",LEFT(Bewertung!F15,1))</f>
        <v>—</v>
      </c>
      <c r="E13" s="126" t="str">
        <f>IF(Bewertung!G15="","—",LEFT(Bewertung!G15,1))</f>
        <v>—</v>
      </c>
      <c r="F13" s="125" t="str">
        <f>IF(Bewertung!H15="","",Bewertung!H15)</f>
        <v/>
      </c>
      <c r="G13" s="250" t="s">
        <v>456</v>
      </c>
      <c r="H13" s="254"/>
      <c r="I13" s="254"/>
      <c r="J13" s="255"/>
      <c r="K13" s="256"/>
    </row>
    <row r="14" spans="2:11" ht="30" customHeight="1" x14ac:dyDescent="0.25">
      <c r="B14" s="127" t="s">
        <v>216</v>
      </c>
      <c r="C14" s="182" t="s">
        <v>392</v>
      </c>
      <c r="D14" s="126" t="str">
        <f>IF(Bewertung!F16="","—",LEFT(Bewertung!F16,1))</f>
        <v>—</v>
      </c>
      <c r="E14" s="126" t="str">
        <f>IF(Bewertung!G16="","—",LEFT(Bewertung!G16,1))</f>
        <v>—</v>
      </c>
      <c r="F14" s="125" t="str">
        <f>IF(Bewertung!H16="","",Bewertung!H16)</f>
        <v/>
      </c>
      <c r="G14" s="250" t="s">
        <v>456</v>
      </c>
      <c r="H14" s="254"/>
      <c r="I14" s="254"/>
      <c r="J14" s="255"/>
      <c r="K14" s="256"/>
    </row>
    <row r="15" spans="2:11" ht="30" customHeight="1" x14ac:dyDescent="0.25">
      <c r="B15" s="128" t="s">
        <v>220</v>
      </c>
      <c r="C15" s="182" t="s">
        <v>393</v>
      </c>
      <c r="D15" s="126" t="str">
        <f>IF(Bewertung!F18="","—",LEFT(Bewertung!F18,1))</f>
        <v>—</v>
      </c>
      <c r="E15" s="126" t="str">
        <f>IF(Bewertung!G18="","—",LEFT(Bewertung!G18,1))</f>
        <v>—</v>
      </c>
      <c r="F15" s="125" t="str">
        <f>IF(Bewertung!H18="","",Bewertung!H18)</f>
        <v/>
      </c>
      <c r="G15" s="250" t="s">
        <v>456</v>
      </c>
      <c r="H15" s="254"/>
      <c r="I15" s="254"/>
      <c r="J15" s="255"/>
      <c r="K15" s="256"/>
    </row>
    <row r="16" spans="2:11" ht="30" customHeight="1" x14ac:dyDescent="0.25">
      <c r="B16" s="128" t="s">
        <v>223</v>
      </c>
      <c r="C16" s="182" t="s">
        <v>394</v>
      </c>
      <c r="D16" s="126" t="str">
        <f>IF(Bewertung!F19="","—",LEFT(Bewertung!F19,1))</f>
        <v>—</v>
      </c>
      <c r="E16" s="126" t="str">
        <f>IF(Bewertung!G19="","—",LEFT(Bewertung!G19,1))</f>
        <v>—</v>
      </c>
      <c r="F16" s="125" t="str">
        <f>IF(Bewertung!H19="","",Bewertung!H19)</f>
        <v/>
      </c>
      <c r="G16" s="250" t="s">
        <v>456</v>
      </c>
      <c r="H16" s="254"/>
      <c r="I16" s="254"/>
      <c r="J16" s="255"/>
      <c r="K16" s="256"/>
    </row>
    <row r="17" spans="2:11" ht="30" customHeight="1" x14ac:dyDescent="0.25">
      <c r="B17" s="128" t="s">
        <v>226</v>
      </c>
      <c r="C17" s="182" t="s">
        <v>395</v>
      </c>
      <c r="D17" s="126" t="str">
        <f>IF(Bewertung!F20="","—",LEFT(Bewertung!F20,1))</f>
        <v>—</v>
      </c>
      <c r="E17" s="126" t="str">
        <f>IF(Bewertung!G20="","—",LEFT(Bewertung!G20,1))</f>
        <v>—</v>
      </c>
      <c r="F17" s="125" t="str">
        <f>IF(Bewertung!H20="","",Bewertung!H20)</f>
        <v/>
      </c>
      <c r="G17" s="250" t="s">
        <v>456</v>
      </c>
      <c r="H17" s="254"/>
      <c r="I17" s="254"/>
      <c r="J17" s="255"/>
      <c r="K17" s="256"/>
    </row>
    <row r="18" spans="2:11" ht="30" customHeight="1" x14ac:dyDescent="0.25">
      <c r="B18" s="128" t="s">
        <v>229</v>
      </c>
      <c r="C18" s="182" t="s">
        <v>396</v>
      </c>
      <c r="D18" s="126" t="str">
        <f>IF(Bewertung!F21="","—",LEFT(Bewertung!F21,1))</f>
        <v>—</v>
      </c>
      <c r="E18" s="126" t="str">
        <f>IF(Bewertung!G21="","—",LEFT(Bewertung!G21,1))</f>
        <v>—</v>
      </c>
      <c r="F18" s="125" t="str">
        <f>IF(Bewertung!H21="","",Bewertung!H21)</f>
        <v/>
      </c>
      <c r="G18" s="250" t="s">
        <v>456</v>
      </c>
      <c r="H18" s="254"/>
      <c r="I18" s="254"/>
      <c r="J18" s="255"/>
      <c r="K18" s="256"/>
    </row>
    <row r="19" spans="2:11" ht="30" customHeight="1" x14ac:dyDescent="0.25">
      <c r="B19" s="128" t="s">
        <v>232</v>
      </c>
      <c r="C19" s="182" t="s">
        <v>397</v>
      </c>
      <c r="D19" s="126" t="str">
        <f>IF(Bewertung!F22="","—",LEFT(Bewertung!F22,1))</f>
        <v>—</v>
      </c>
      <c r="E19" s="126" t="str">
        <f>IF(Bewertung!G22="","—",LEFT(Bewertung!G22,1))</f>
        <v>—</v>
      </c>
      <c r="F19" s="125" t="str">
        <f>IF(Bewertung!H22="","",Bewertung!H22)</f>
        <v/>
      </c>
      <c r="G19" s="250" t="s">
        <v>456</v>
      </c>
      <c r="H19" s="254"/>
      <c r="I19" s="254"/>
      <c r="J19" s="255"/>
      <c r="K19" s="256"/>
    </row>
    <row r="20" spans="2:11" ht="30" customHeight="1" x14ac:dyDescent="0.25">
      <c r="B20" s="129" t="s">
        <v>236</v>
      </c>
      <c r="C20" s="182" t="s">
        <v>462</v>
      </c>
      <c r="D20" s="126" t="str">
        <f>IF(Bewertung!F24="","—",LEFT(Bewertung!F24,1))</f>
        <v>—</v>
      </c>
      <c r="E20" s="126" t="str">
        <f>IF(Bewertung!G24="","—",LEFT(Bewertung!G24,1))</f>
        <v>—</v>
      </c>
      <c r="F20" s="125" t="str">
        <f>IF(Bewertung!H24="","",Bewertung!H24)</f>
        <v/>
      </c>
      <c r="G20" s="250" t="s">
        <v>456</v>
      </c>
      <c r="H20" s="254"/>
      <c r="I20" s="254"/>
      <c r="J20" s="255"/>
      <c r="K20" s="256"/>
    </row>
    <row r="21" spans="2:11" ht="30" customHeight="1" x14ac:dyDescent="0.25">
      <c r="B21" s="129" t="s">
        <v>239</v>
      </c>
      <c r="C21" s="182" t="s">
        <v>463</v>
      </c>
      <c r="D21" s="126" t="str">
        <f>IF(Bewertung!F25="","—",LEFT(Bewertung!F25,1))</f>
        <v>—</v>
      </c>
      <c r="E21" s="126" t="str">
        <f>IF(Bewertung!G25="","—",LEFT(Bewertung!G25,1))</f>
        <v>—</v>
      </c>
      <c r="F21" s="125" t="str">
        <f>IF(Bewertung!H25="","",Bewertung!H25)</f>
        <v/>
      </c>
      <c r="G21" s="250" t="s">
        <v>456</v>
      </c>
      <c r="H21" s="254"/>
      <c r="I21" s="254"/>
      <c r="J21" s="255"/>
      <c r="K21" s="256"/>
    </row>
    <row r="22" spans="2:11" ht="30" customHeight="1" x14ac:dyDescent="0.25">
      <c r="B22" s="130" t="s">
        <v>243</v>
      </c>
      <c r="C22" s="182" t="s">
        <v>400</v>
      </c>
      <c r="D22" s="126" t="str">
        <f>IF(Bewertung!F27="","—",LEFT(Bewertung!F27,1))</f>
        <v>—</v>
      </c>
      <c r="E22" s="126" t="str">
        <f>IF(Bewertung!G27="","—",LEFT(Bewertung!G27,1))</f>
        <v>—</v>
      </c>
      <c r="F22" s="125" t="str">
        <f>IF(Bewertung!H27="","",Bewertung!H27)</f>
        <v/>
      </c>
      <c r="G22" s="250" t="s">
        <v>456</v>
      </c>
      <c r="H22" s="254"/>
      <c r="I22" s="254"/>
      <c r="J22" s="255"/>
      <c r="K22" s="256"/>
    </row>
    <row r="23" spans="2:11" ht="30" customHeight="1" x14ac:dyDescent="0.25">
      <c r="B23" s="130" t="s">
        <v>246</v>
      </c>
      <c r="C23" s="182" t="s">
        <v>401</v>
      </c>
      <c r="D23" s="126" t="str">
        <f>IF(Bewertung!F28="","—",LEFT(Bewertung!F28,1))</f>
        <v>—</v>
      </c>
      <c r="E23" s="126" t="str">
        <f>IF(Bewertung!G28="","—",LEFT(Bewertung!G28,1))</f>
        <v>—</v>
      </c>
      <c r="F23" s="125" t="str">
        <f>IF(Bewertung!H28="","",Bewertung!H28)</f>
        <v/>
      </c>
      <c r="G23" s="250" t="s">
        <v>456</v>
      </c>
      <c r="H23" s="254"/>
      <c r="I23" s="254"/>
      <c r="J23" s="255"/>
      <c r="K23" s="256"/>
    </row>
    <row r="24" spans="2:11" ht="30" customHeight="1" x14ac:dyDescent="0.25">
      <c r="B24" s="130" t="s">
        <v>249</v>
      </c>
      <c r="C24" s="182" t="s">
        <v>464</v>
      </c>
      <c r="D24" s="126" t="str">
        <f>IF(Bewertung!F29="","—",LEFT(Bewertung!F29,1))</f>
        <v>—</v>
      </c>
      <c r="E24" s="126" t="str">
        <f>IF(Bewertung!G29="","—",LEFT(Bewertung!G29,1))</f>
        <v>—</v>
      </c>
      <c r="F24" s="125" t="str">
        <f>IF(Bewertung!H29="","",Bewertung!H29)</f>
        <v/>
      </c>
      <c r="G24" s="250" t="s">
        <v>456</v>
      </c>
      <c r="H24" s="254"/>
      <c r="I24" s="254"/>
      <c r="J24" s="255"/>
      <c r="K24" s="256"/>
    </row>
    <row r="25" spans="2:11" ht="30" customHeight="1" x14ac:dyDescent="0.25">
      <c r="B25" s="130" t="s">
        <v>252</v>
      </c>
      <c r="C25" s="182" t="s">
        <v>403</v>
      </c>
      <c r="D25" s="126" t="str">
        <f>IF(Bewertung!F30="","—",LEFT(Bewertung!F30,1))</f>
        <v>—</v>
      </c>
      <c r="E25" s="126" t="str">
        <f>IF(Bewertung!G30="","—",LEFT(Bewertung!G30,1))</f>
        <v>—</v>
      </c>
      <c r="F25" s="125" t="str">
        <f>IF(Bewertung!H30="","",Bewertung!H30)</f>
        <v/>
      </c>
      <c r="G25" s="250" t="s">
        <v>456</v>
      </c>
      <c r="H25" s="254"/>
      <c r="I25" s="254"/>
      <c r="J25" s="255"/>
      <c r="K25" s="256"/>
    </row>
    <row r="26" spans="2:11" ht="30" customHeight="1" x14ac:dyDescent="0.25">
      <c r="B26" s="131" t="s">
        <v>256</v>
      </c>
      <c r="C26" s="182" t="s">
        <v>465</v>
      </c>
      <c r="D26" s="126" t="str">
        <f>IF(Bewertung!F32="","—",LEFT(Bewertung!F32,1))</f>
        <v>—</v>
      </c>
      <c r="E26" s="126" t="str">
        <f>IF(Bewertung!G32="","—",LEFT(Bewertung!G32,1))</f>
        <v>—</v>
      </c>
      <c r="F26" s="125" t="str">
        <f>IF(Bewertung!H32="","",Bewertung!H32)</f>
        <v/>
      </c>
      <c r="G26" s="250" t="s">
        <v>456</v>
      </c>
      <c r="H26" s="254"/>
      <c r="I26" s="254"/>
      <c r="J26" s="255"/>
      <c r="K26" s="256"/>
    </row>
    <row r="27" spans="2:11" ht="30" customHeight="1" x14ac:dyDescent="0.25">
      <c r="B27" s="131" t="s">
        <v>259</v>
      </c>
      <c r="C27" s="182" t="s">
        <v>466</v>
      </c>
      <c r="D27" s="126" t="str">
        <f>IF(Bewertung!F33="","—",LEFT(Bewertung!F33,1))</f>
        <v>—</v>
      </c>
      <c r="E27" s="126" t="str">
        <f>IF(Bewertung!G33="","—",LEFT(Bewertung!G33,1))</f>
        <v>—</v>
      </c>
      <c r="F27" s="125" t="str">
        <f>IF(Bewertung!H33="","",Bewertung!H33)</f>
        <v/>
      </c>
      <c r="G27" s="250" t="s">
        <v>456</v>
      </c>
      <c r="H27" s="254"/>
      <c r="I27" s="254"/>
      <c r="J27" s="255"/>
      <c r="K27" s="256"/>
    </row>
    <row r="29" spans="2:11" ht="15" customHeight="1" x14ac:dyDescent="0.25">
      <c r="B29" s="249" t="s">
        <v>467</v>
      </c>
      <c r="C29" s="249"/>
      <c r="D29" s="249"/>
      <c r="E29" s="249"/>
      <c r="F29" s="249"/>
      <c r="G29" s="249"/>
      <c r="H29" s="249"/>
      <c r="I29" s="249"/>
      <c r="J29" s="215">
        <f>SUM(J6:J27)</f>
        <v>0</v>
      </c>
    </row>
    <row r="31" spans="2:11" ht="15" customHeight="1" x14ac:dyDescent="0.25">
      <c r="B31" s="4" t="s">
        <v>468</v>
      </c>
    </row>
    <row r="32" spans="2:11" ht="15" customHeight="1" x14ac:dyDescent="0.25">
      <c r="B32" s="16" t="s">
        <v>469</v>
      </c>
      <c r="D32" s="216">
        <f>COUNTIF(G6:G27,"Eliminieren")</f>
        <v>0</v>
      </c>
      <c r="E32" s="14" t="s">
        <v>408</v>
      </c>
    </row>
    <row r="33" spans="2:11" ht="15" customHeight="1" x14ac:dyDescent="0.25">
      <c r="B33" s="16" t="s">
        <v>470</v>
      </c>
      <c r="D33" s="216">
        <f>COUNTIF(G6:G27,"Vermindern")</f>
        <v>0</v>
      </c>
      <c r="E33" s="14" t="s">
        <v>408</v>
      </c>
    </row>
    <row r="34" spans="2:11" ht="15" customHeight="1" x14ac:dyDescent="0.25">
      <c r="B34" s="16" t="s">
        <v>471</v>
      </c>
      <c r="D34" s="216">
        <f>COUNTIF(G6:G27,"Mitigieren")</f>
        <v>0</v>
      </c>
      <c r="E34" s="14" t="s">
        <v>408</v>
      </c>
    </row>
    <row r="35" spans="2:11" ht="15" customHeight="1" x14ac:dyDescent="0.25">
      <c r="B35" s="16" t="s">
        <v>472</v>
      </c>
      <c r="D35" s="216">
        <f>COUNTIF(G6:G27,"Tragen")</f>
        <v>0</v>
      </c>
      <c r="E35" s="14" t="s">
        <v>408</v>
      </c>
    </row>
    <row r="36" spans="2:11" ht="15" customHeight="1" x14ac:dyDescent="0.25">
      <c r="B36" s="16" t="s">
        <v>473</v>
      </c>
      <c r="D36" s="216">
        <f>COUNTIF(G6:G27,"Noch offen")</f>
        <v>22</v>
      </c>
      <c r="E36" s="14" t="s">
        <v>408</v>
      </c>
    </row>
    <row r="39" spans="2:11" ht="15" customHeight="1" x14ac:dyDescent="0.25">
      <c r="B39" s="132" t="s">
        <v>474</v>
      </c>
    </row>
    <row r="40" spans="2:11" ht="30" customHeight="1" x14ac:dyDescent="0.25">
      <c r="B40" s="217" t="s">
        <v>475</v>
      </c>
      <c r="C40" s="248" t="s">
        <v>476</v>
      </c>
      <c r="D40" s="248"/>
      <c r="E40" s="248"/>
      <c r="F40" s="248"/>
      <c r="G40" s="248"/>
      <c r="H40" s="248"/>
      <c r="I40" s="248"/>
      <c r="J40" s="248"/>
      <c r="K40" s="248"/>
    </row>
    <row r="41" spans="2:11" ht="30" customHeight="1" x14ac:dyDescent="0.25">
      <c r="B41" s="218" t="s">
        <v>477</v>
      </c>
      <c r="C41" s="248" t="s">
        <v>478</v>
      </c>
      <c r="D41" s="248"/>
      <c r="E41" s="248"/>
      <c r="F41" s="248"/>
      <c r="G41" s="248"/>
      <c r="H41" s="248"/>
      <c r="I41" s="248"/>
      <c r="J41" s="248"/>
      <c r="K41" s="248"/>
    </row>
    <row r="42" spans="2:11" ht="30" customHeight="1" x14ac:dyDescent="0.25">
      <c r="B42" s="219" t="s">
        <v>479</v>
      </c>
      <c r="C42" s="248" t="s">
        <v>480</v>
      </c>
      <c r="D42" s="248"/>
      <c r="E42" s="248"/>
      <c r="F42" s="248"/>
      <c r="G42" s="248"/>
      <c r="H42" s="248"/>
      <c r="I42" s="248"/>
      <c r="J42" s="248"/>
      <c r="K42" s="248"/>
    </row>
    <row r="43" spans="2:11" ht="30" customHeight="1" x14ac:dyDescent="0.25">
      <c r="B43" s="220" t="s">
        <v>481</v>
      </c>
      <c r="C43" s="248" t="s">
        <v>482</v>
      </c>
      <c r="D43" s="248"/>
      <c r="E43" s="248"/>
      <c r="F43" s="248"/>
      <c r="G43" s="248"/>
      <c r="H43" s="248"/>
      <c r="I43" s="248"/>
      <c r="J43" s="248"/>
      <c r="K43" s="248"/>
    </row>
    <row r="45" spans="2:11" ht="15" customHeight="1" x14ac:dyDescent="0.25">
      <c r="B45" s="132" t="s">
        <v>483</v>
      </c>
    </row>
    <row r="46" spans="2:11" ht="15" customHeight="1" x14ac:dyDescent="0.25">
      <c r="B46" s="247" t="s">
        <v>484</v>
      </c>
      <c r="C46" s="247"/>
      <c r="D46" s="247"/>
      <c r="E46" s="247"/>
      <c r="F46" s="247"/>
      <c r="G46" s="247"/>
      <c r="H46" s="247"/>
      <c r="I46" s="247"/>
      <c r="J46" s="247"/>
      <c r="K46" s="247"/>
    </row>
    <row r="47" spans="2:11" ht="15" customHeight="1" x14ac:dyDescent="0.25">
      <c r="B47" s="247" t="s">
        <v>485</v>
      </c>
      <c r="C47" s="247"/>
      <c r="D47" s="247"/>
      <c r="E47" s="247"/>
      <c r="F47" s="247"/>
      <c r="G47" s="247"/>
      <c r="H47" s="247"/>
      <c r="I47" s="247"/>
      <c r="J47" s="247"/>
      <c r="K47" s="247"/>
    </row>
    <row r="48" spans="2:11" ht="15" customHeight="1" x14ac:dyDescent="0.25">
      <c r="B48" s="247" t="s">
        <v>486</v>
      </c>
      <c r="C48" s="247"/>
      <c r="D48" s="247"/>
      <c r="E48" s="247"/>
      <c r="F48" s="247"/>
      <c r="G48" s="247"/>
      <c r="H48" s="247"/>
      <c r="I48" s="247"/>
      <c r="J48" s="247"/>
      <c r="K48" s="247"/>
    </row>
    <row r="49" spans="2:11" ht="15" customHeight="1" x14ac:dyDescent="0.25">
      <c r="B49" s="247" t="s">
        <v>487</v>
      </c>
      <c r="C49" s="247"/>
      <c r="D49" s="247"/>
      <c r="E49" s="247"/>
      <c r="F49" s="247"/>
      <c r="G49" s="247"/>
      <c r="H49" s="247"/>
      <c r="I49" s="247"/>
      <c r="J49" s="247"/>
      <c r="K49" s="247"/>
    </row>
    <row r="50" spans="2:11" ht="15" customHeight="1" x14ac:dyDescent="0.25">
      <c r="B50" s="247" t="s">
        <v>488</v>
      </c>
      <c r="C50" s="247"/>
      <c r="D50" s="247"/>
      <c r="E50" s="247"/>
      <c r="F50" s="247"/>
      <c r="G50" s="247"/>
      <c r="H50" s="247"/>
      <c r="I50" s="247"/>
      <c r="J50" s="247"/>
      <c r="K50" s="247"/>
    </row>
    <row r="51" spans="2:11" ht="15" customHeight="1" x14ac:dyDescent="0.25">
      <c r="B51" s="247" t="s">
        <v>489</v>
      </c>
      <c r="C51" s="247"/>
      <c r="D51" s="247"/>
      <c r="E51" s="247"/>
      <c r="F51" s="247"/>
      <c r="G51" s="247"/>
      <c r="H51" s="247"/>
      <c r="I51" s="247"/>
      <c r="J51" s="247"/>
      <c r="K51" s="247"/>
    </row>
  </sheetData>
  <sheetProtection sheet="1" objects="1" scenarios="1"/>
  <mergeCells count="12">
    <mergeCell ref="B2:K2"/>
    <mergeCell ref="B29:I29"/>
    <mergeCell ref="C40:K40"/>
    <mergeCell ref="C41:K41"/>
    <mergeCell ref="C42:K42"/>
    <mergeCell ref="B50:K50"/>
    <mergeCell ref="B51:K51"/>
    <mergeCell ref="C43:K43"/>
    <mergeCell ref="B46:K46"/>
    <mergeCell ref="B47:K47"/>
    <mergeCell ref="B48:K48"/>
    <mergeCell ref="B49:K49"/>
  </mergeCells>
  <conditionalFormatting sqref="F6:F27">
    <cfRule type="cellIs" dxfId="1" priority="2" operator="greaterThanOrEqual">
      <formula>2</formula>
    </cfRule>
    <cfRule type="cellIs" dxfId="0" priority="3" operator="equal">
      <formula>1</formula>
    </cfRule>
  </conditionalFormatting>
  <dataValidations count="1">
    <dataValidation type="list" allowBlank="1" prompt="Wie soll das Risiko behandelt werden?" sqref="G6:G27" xr:uid="{00000000-0002-0000-0900-000000000000}">
      <formula1>"Eliminieren,Vermindern,Mitigieren,Tragen,Noch offen"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08080"/>
  </sheetPr>
  <dimension ref="A1:B8"/>
  <sheetViews>
    <sheetView zoomScaleNormal="100" workbookViewId="0">
      <selection activeCell="A10" sqref="A10"/>
    </sheetView>
  </sheetViews>
  <sheetFormatPr baseColWidth="10" defaultColWidth="8.7109375" defaultRowHeight="15" x14ac:dyDescent="0.25"/>
  <cols>
    <col min="1" max="1" width="43.28515625" customWidth="1"/>
  </cols>
  <sheetData>
    <row r="1" spans="1:2" ht="15" customHeight="1" x14ac:dyDescent="0.25">
      <c r="A1" s="16" t="s">
        <v>490</v>
      </c>
      <c r="B1" s="16" t="s">
        <v>491</v>
      </c>
    </row>
    <row r="2" spans="1:2" ht="15" customHeight="1" x14ac:dyDescent="0.25">
      <c r="A2" t="s">
        <v>492</v>
      </c>
      <c r="B2">
        <v>0</v>
      </c>
    </row>
    <row r="3" spans="1:2" ht="15" customHeight="1" x14ac:dyDescent="0.25">
      <c r="A3" t="s">
        <v>493</v>
      </c>
      <c r="B3">
        <v>1</v>
      </c>
    </row>
    <row r="4" spans="1:2" ht="15" customHeight="1" x14ac:dyDescent="0.25">
      <c r="A4" t="s">
        <v>494</v>
      </c>
      <c r="B4">
        <v>2</v>
      </c>
    </row>
    <row r="5" spans="1:2" ht="15" customHeight="1" x14ac:dyDescent="0.25">
      <c r="A5" t="s">
        <v>495</v>
      </c>
      <c r="B5">
        <v>3</v>
      </c>
    </row>
    <row r="6" spans="1:2" ht="15" customHeight="1" x14ac:dyDescent="0.25">
      <c r="A6" t="s">
        <v>496</v>
      </c>
      <c r="B6">
        <v>4</v>
      </c>
    </row>
    <row r="8" spans="1:2" ht="15" customHeight="1" x14ac:dyDescent="0.25">
      <c r="A8" s="13" t="s">
        <v>497</v>
      </c>
    </row>
  </sheetData>
  <sheetProtection sheet="1" objects="1" scenarios="1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5090"/>
  </sheetPr>
  <dimension ref="B2:F42"/>
  <sheetViews>
    <sheetView showGridLines="0" zoomScaleNormal="100" workbookViewId="0">
      <selection activeCell="D6" sqref="D6"/>
    </sheetView>
  </sheetViews>
  <sheetFormatPr baseColWidth="10" defaultColWidth="8.7109375" defaultRowHeight="15" x14ac:dyDescent="0.25"/>
  <cols>
    <col min="1" max="1" width="3" customWidth="1"/>
    <col min="2" max="2" width="60.28515625" customWidth="1"/>
    <col min="3" max="3" width="5" customWidth="1"/>
    <col min="4" max="4" width="25.42578125" customWidth="1"/>
    <col min="5" max="5" width="1.7109375" customWidth="1"/>
    <col min="6" max="6" width="39.85546875" customWidth="1"/>
    <col min="7" max="7" width="3" customWidth="1"/>
  </cols>
  <sheetData>
    <row r="2" spans="2:6" ht="19.5" customHeight="1" x14ac:dyDescent="0.35">
      <c r="B2" s="15" t="s">
        <v>34</v>
      </c>
    </row>
    <row r="3" spans="2:6" ht="15" customHeight="1" x14ac:dyDescent="0.25">
      <c r="B3" s="14" t="s">
        <v>35</v>
      </c>
    </row>
    <row r="5" spans="2:6" ht="15" customHeight="1" x14ac:dyDescent="0.25">
      <c r="B5" s="221" t="s">
        <v>36</v>
      </c>
      <c r="C5" s="221"/>
      <c r="D5" s="221"/>
    </row>
    <row r="6" spans="2:6" ht="15" customHeight="1" x14ac:dyDescent="0.25">
      <c r="B6" s="16" t="s">
        <v>37</v>
      </c>
      <c r="D6" s="250"/>
    </row>
    <row r="7" spans="2:6" ht="15" customHeight="1" x14ac:dyDescent="0.25">
      <c r="B7" s="16" t="s">
        <v>38</v>
      </c>
      <c r="D7" s="250"/>
    </row>
    <row r="8" spans="2:6" ht="15" customHeight="1" x14ac:dyDescent="0.25">
      <c r="B8" s="16" t="s">
        <v>39</v>
      </c>
      <c r="D8" s="250"/>
    </row>
    <row r="9" spans="2:6" ht="15" customHeight="1" x14ac:dyDescent="0.25">
      <c r="B9" s="16" t="s">
        <v>40</v>
      </c>
      <c r="D9" s="251"/>
    </row>
    <row r="10" spans="2:6" ht="15" customHeight="1" x14ac:dyDescent="0.25">
      <c r="B10" s="16" t="s">
        <v>41</v>
      </c>
      <c r="D10" s="250"/>
    </row>
    <row r="11" spans="2:6" ht="15" customHeight="1" x14ac:dyDescent="0.25"/>
    <row r="12" spans="2:6" ht="15" customHeight="1" x14ac:dyDescent="0.25">
      <c r="B12" s="221" t="s">
        <v>42</v>
      </c>
      <c r="C12" s="221"/>
      <c r="D12" s="221"/>
    </row>
    <row r="13" spans="2:6" ht="15" customHeight="1" x14ac:dyDescent="0.25">
      <c r="B13" s="16" t="s">
        <v>43</v>
      </c>
      <c r="D13" s="252"/>
      <c r="F13" s="17" t="s">
        <v>44</v>
      </c>
    </row>
    <row r="14" spans="2:6" ht="15" customHeight="1" x14ac:dyDescent="0.25">
      <c r="B14" s="16" t="s">
        <v>45</v>
      </c>
      <c r="D14" s="252"/>
      <c r="F14" s="17" t="s">
        <v>44</v>
      </c>
    </row>
    <row r="15" spans="2:6" ht="15" customHeight="1" x14ac:dyDescent="0.25">
      <c r="B15" s="16" t="s">
        <v>46</v>
      </c>
      <c r="D15" s="252"/>
      <c r="F15" s="17" t="s">
        <v>44</v>
      </c>
    </row>
    <row r="16" spans="2:6" ht="15" customHeight="1" x14ac:dyDescent="0.25">
      <c r="B16" s="16" t="s">
        <v>47</v>
      </c>
      <c r="D16" s="252"/>
    </row>
    <row r="17" spans="2:6" ht="15" customHeight="1" x14ac:dyDescent="0.25">
      <c r="B17" s="16" t="s">
        <v>48</v>
      </c>
      <c r="D17" s="250"/>
    </row>
    <row r="18" spans="2:6" ht="15" customHeight="1" x14ac:dyDescent="0.25">
      <c r="B18" s="8" t="s">
        <v>49</v>
      </c>
      <c r="D18" s="18">
        <v>4.2000000000000003E-2</v>
      </c>
      <c r="F18" s="17" t="s">
        <v>50</v>
      </c>
    </row>
    <row r="19" spans="2:6" ht="15" customHeight="1" x14ac:dyDescent="0.25">
      <c r="B19" s="8" t="s">
        <v>51</v>
      </c>
      <c r="D19" s="19">
        <v>0.1</v>
      </c>
    </row>
    <row r="20" spans="2:6" ht="15" customHeight="1" x14ac:dyDescent="0.25"/>
    <row r="21" spans="2:6" ht="15" customHeight="1" x14ac:dyDescent="0.25">
      <c r="B21" s="222" t="s">
        <v>52</v>
      </c>
      <c r="C21" s="222"/>
      <c r="D21" s="222"/>
      <c r="E21" s="222"/>
      <c r="F21" s="222"/>
    </row>
    <row r="22" spans="2:6" ht="21.75" customHeight="1" x14ac:dyDescent="0.25">
      <c r="B22" s="20" t="s">
        <v>53</v>
      </c>
      <c r="C22" s="21"/>
      <c r="D22" s="20" t="s">
        <v>54</v>
      </c>
      <c r="E22" s="21"/>
      <c r="F22" s="20" t="s">
        <v>55</v>
      </c>
    </row>
    <row r="23" spans="2:6" ht="30" customHeight="1" x14ac:dyDescent="0.25">
      <c r="B23" s="22" t="s">
        <v>56</v>
      </c>
      <c r="D23" s="23">
        <f>D13/365*D17</f>
        <v>0</v>
      </c>
      <c r="F23" s="24" t="s">
        <v>57</v>
      </c>
    </row>
    <row r="24" spans="2:6" ht="30" customHeight="1" x14ac:dyDescent="0.25">
      <c r="B24" s="22" t="s">
        <v>58</v>
      </c>
      <c r="D24" s="25">
        <f>D15*D18</f>
        <v>0</v>
      </c>
      <c r="F24" s="24" t="s">
        <v>59</v>
      </c>
    </row>
    <row r="25" spans="2:6" ht="30" customHeight="1" x14ac:dyDescent="0.25">
      <c r="B25" s="22" t="s">
        <v>60</v>
      </c>
      <c r="D25" s="23">
        <f>D13*0.01+50000</f>
        <v>50000</v>
      </c>
      <c r="F25" s="24" t="s">
        <v>61</v>
      </c>
    </row>
    <row r="26" spans="2:6" ht="15" customHeight="1" x14ac:dyDescent="0.25">
      <c r="B26" s="22"/>
      <c r="D26" s="23"/>
      <c r="F26" s="26"/>
    </row>
    <row r="27" spans="2:6" ht="15" customHeight="1" x14ac:dyDescent="0.25">
      <c r="B27" s="22"/>
      <c r="D27" s="23"/>
      <c r="F27" s="26"/>
    </row>
    <row r="28" spans="2:6" ht="24.75" customHeight="1" x14ac:dyDescent="0.25">
      <c r="B28" s="16" t="s">
        <v>62</v>
      </c>
      <c r="D28" s="27">
        <f>SUM(D23:D25)</f>
        <v>50000</v>
      </c>
      <c r="F28" s="28" t="s">
        <v>63</v>
      </c>
    </row>
    <row r="29" spans="2:6" ht="24.75" customHeight="1" x14ac:dyDescent="0.25">
      <c r="B29" s="29" t="s">
        <v>64</v>
      </c>
      <c r="D29" s="30">
        <f>D13*0.03</f>
        <v>0</v>
      </c>
      <c r="F29" s="28" t="s">
        <v>65</v>
      </c>
    </row>
    <row r="30" spans="2:6" ht="15" customHeight="1" x14ac:dyDescent="0.25">
      <c r="B30" s="31" t="s">
        <v>66</v>
      </c>
      <c r="D30" s="32"/>
    </row>
    <row r="31" spans="2:6" ht="15" customHeight="1" x14ac:dyDescent="0.25">
      <c r="B31" s="16" t="s">
        <v>67</v>
      </c>
      <c r="D31" s="33">
        <f>IF(D14=0,0,D16/D14)</f>
        <v>0</v>
      </c>
    </row>
    <row r="32" spans="2:6" ht="24" customHeight="1" x14ac:dyDescent="0.25">
      <c r="B32" s="16" t="s">
        <v>68</v>
      </c>
      <c r="D32" s="34" t="s">
        <v>69</v>
      </c>
      <c r="F32" s="28" t="s">
        <v>70</v>
      </c>
    </row>
    <row r="33" spans="2:6" ht="32.25" customHeight="1" x14ac:dyDescent="0.25">
      <c r="B33" s="16" t="s">
        <v>71</v>
      </c>
      <c r="D33" s="35" t="str">
        <f>IF(D16=0,"Nie",D28/D16)</f>
        <v>Nie</v>
      </c>
      <c r="F33" s="28"/>
    </row>
    <row r="34" spans="2:6" ht="24" customHeight="1" x14ac:dyDescent="0.25">
      <c r="B34" s="16" t="s">
        <v>72</v>
      </c>
      <c r="D34" s="36">
        <f>D28*D19</f>
        <v>5000</v>
      </c>
      <c r="F34" s="28" t="s">
        <v>73</v>
      </c>
    </row>
    <row r="35" spans="2:6" ht="15" customHeight="1" x14ac:dyDescent="0.25">
      <c r="B35" s="37"/>
      <c r="D35" s="38"/>
      <c r="F35" s="39"/>
    </row>
    <row r="36" spans="2:6" ht="15" customHeight="1" x14ac:dyDescent="0.25"/>
    <row r="37" spans="2:6" ht="15" customHeight="1" x14ac:dyDescent="0.25">
      <c r="B37" s="16" t="s">
        <v>74</v>
      </c>
    </row>
    <row r="38" spans="2:6" ht="15" customHeight="1" x14ac:dyDescent="0.25">
      <c r="B38" s="40" t="s">
        <v>75</v>
      </c>
    </row>
    <row r="39" spans="2:6" ht="15" customHeight="1" x14ac:dyDescent="0.25">
      <c r="B39" s="40" t="s">
        <v>76</v>
      </c>
    </row>
    <row r="40" spans="2:6" ht="15" customHeight="1" x14ac:dyDescent="0.25">
      <c r="B40" s="40" t="s">
        <v>77</v>
      </c>
    </row>
    <row r="41" spans="2:6" ht="15" customHeight="1" x14ac:dyDescent="0.25">
      <c r="B41" s="40" t="s">
        <v>78</v>
      </c>
    </row>
    <row r="42" spans="2:6" ht="15" customHeight="1" x14ac:dyDescent="0.25">
      <c r="B42" s="13"/>
    </row>
  </sheetData>
  <sheetProtection sheet="1" objects="1" scenarios="1"/>
  <mergeCells count="3">
    <mergeCell ref="B5:D5"/>
    <mergeCell ref="B12:D12"/>
    <mergeCell ref="B21:F2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B2A4A"/>
  </sheetPr>
  <dimension ref="A1:I60"/>
  <sheetViews>
    <sheetView showGridLines="0" zoomScale="85" zoomScaleNormal="85" workbookViewId="0">
      <selection activeCell="G26" sqref="G26"/>
    </sheetView>
  </sheetViews>
  <sheetFormatPr baseColWidth="10" defaultColWidth="8.7109375" defaultRowHeight="15" x14ac:dyDescent="0.25"/>
  <cols>
    <col min="1" max="1" width="3" customWidth="1"/>
    <col min="2" max="2" width="28" customWidth="1"/>
    <col min="3" max="3" width="15" customWidth="1"/>
    <col min="4" max="4" width="18.7109375" customWidth="1"/>
    <col min="5" max="5" width="15" customWidth="1"/>
    <col min="6" max="6" width="21.42578125" customWidth="1"/>
    <col min="7" max="7" width="15" customWidth="1"/>
    <col min="8" max="8" width="26.42578125" customWidth="1"/>
    <col min="9" max="9" width="3" customWidth="1"/>
  </cols>
  <sheetData>
    <row r="1" spans="1:9" ht="45" customHeight="1" x14ac:dyDescent="0.25">
      <c r="A1" s="41"/>
      <c r="B1" s="231" t="s">
        <v>79</v>
      </c>
      <c r="C1" s="231"/>
      <c r="D1" s="231"/>
      <c r="E1" s="231"/>
      <c r="F1" s="231"/>
      <c r="G1" s="231"/>
      <c r="H1" s="231"/>
      <c r="I1" s="21"/>
    </row>
    <row r="2" spans="1:9" ht="24.75" customHeight="1" x14ac:dyDescent="0.25">
      <c r="A2" s="42"/>
      <c r="B2" s="232" t="s">
        <v>80</v>
      </c>
      <c r="C2" s="232"/>
      <c r="D2" s="232"/>
      <c r="E2" s="232"/>
      <c r="F2" s="232"/>
      <c r="G2" s="232"/>
      <c r="H2" s="232"/>
      <c r="I2" s="43"/>
    </row>
    <row r="3" spans="1:9" ht="15" customHeight="1" x14ac:dyDescent="0.25">
      <c r="A3" s="8"/>
      <c r="B3" s="8"/>
      <c r="C3" s="8"/>
      <c r="D3" s="8"/>
      <c r="E3" s="8"/>
      <c r="F3" s="8"/>
    </row>
    <row r="4" spans="1:9" ht="15" customHeight="1" x14ac:dyDescent="0.25">
      <c r="A4" s="8"/>
      <c r="B4" s="233" t="s">
        <v>81</v>
      </c>
      <c r="C4" s="233"/>
      <c r="D4" s="234" t="s">
        <v>82</v>
      </c>
      <c r="E4" s="234"/>
      <c r="F4" s="235" t="s">
        <v>83</v>
      </c>
      <c r="G4" s="235"/>
      <c r="H4" s="44" t="s">
        <v>84</v>
      </c>
    </row>
    <row r="5" spans="1:9" ht="49.5" customHeight="1" x14ac:dyDescent="0.3">
      <c r="A5" s="8"/>
      <c r="B5" s="45">
        <f>Ergebnisse!C12</f>
        <v>0</v>
      </c>
      <c r="C5" s="46" t="s">
        <v>85</v>
      </c>
      <c r="D5" s="227">
        <f>Unternehmensdaten!D28</f>
        <v>50000</v>
      </c>
      <c r="E5" s="227"/>
      <c r="F5" s="47">
        <f>Gefährdung!E35</f>
        <v>0</v>
      </c>
      <c r="G5" s="48" t="str">
        <f>IF(Gefährdung!E35&lt;0.3,"✅ Tief",IF(Gefährdung!E35&lt;0.5,"⚠️ Mittel",IF(Gefährdung!E35&lt;0.7,"🔶 Hoch","🔴 Kritisch")))</f>
        <v>✅ Tief</v>
      </c>
      <c r="H5" s="49">
        <f>IF(Unternehmensdaten!D34=0,"—",Unternehmensdaten!D16/Unternehmensdaten!D34)</f>
        <v>0</v>
      </c>
    </row>
    <row r="6" spans="1:9" ht="20.25" customHeight="1" x14ac:dyDescent="0.25">
      <c r="A6" s="8"/>
      <c r="B6" s="50" t="str">
        <f>IF(Ergebnisse!C12&gt;=3,"Guter Stand",IF(Ergebnisse!C12&gt;=2,"Verbesserung nötig","Kritisch tief"))</f>
        <v>Kritisch tief</v>
      </c>
      <c r="C6" s="51"/>
      <c r="D6" s="228" t="str">
        <f>IF(Unternehmensdaten!D28&gt;500000,"Hohes Schadenspotenzial",IF(Unternehmensdaten!D28&gt;100000,"Mittleres Schadenspotenzial","Tiefes Schadenspotenzial"))</f>
        <v>Tiefes Schadenspotenzial</v>
      </c>
      <c r="E6" s="228"/>
      <c r="F6" s="229" t="str">
        <f>IF(Gefährdung!E35&lt;0.3,"Grundschutz vorhanden",IF(Gefährdung!E35&lt;0.5,"Lücken vorhanden — Quick Wins starten",IF(Gefährdung!E35&lt;0.7,"Wesentliche Lücken — Sofortmassnahmen nötig","Kritisch — Sofort handeln")))</f>
        <v>Grundschutz vorhanden</v>
      </c>
      <c r="G6" s="229"/>
      <c r="H6" s="52" t="str">
        <f>IF(H5="—","",IF(H5&gt;=1,"Ausreichend",IF(H5&gt;=0.5,"Unter Empfehlung","Deutlich zu tief")))</f>
        <v>Deutlich zu tief</v>
      </c>
    </row>
    <row r="7" spans="1:9" ht="15" customHeight="1" x14ac:dyDescent="0.25">
      <c r="A7" s="8"/>
      <c r="B7" s="230" t="s">
        <v>86</v>
      </c>
      <c r="C7" s="230"/>
      <c r="D7" s="230"/>
      <c r="E7" s="230"/>
      <c r="F7" s="230"/>
      <c r="G7" s="230"/>
      <c r="H7" s="230"/>
    </row>
    <row r="8" spans="1:9" ht="15" customHeight="1" x14ac:dyDescent="0.25">
      <c r="A8" s="8"/>
      <c r="B8" s="1" t="s">
        <v>87</v>
      </c>
      <c r="C8" s="1" t="s">
        <v>88</v>
      </c>
      <c r="D8" s="1" t="s">
        <v>89</v>
      </c>
      <c r="E8" s="1" t="s">
        <v>90</v>
      </c>
      <c r="F8" s="1" t="s">
        <v>91</v>
      </c>
      <c r="G8" s="1" t="s">
        <v>92</v>
      </c>
      <c r="H8" s="1" t="s">
        <v>93</v>
      </c>
    </row>
    <row r="9" spans="1:9" ht="34.5" customHeight="1" x14ac:dyDescent="0.25">
      <c r="A9" s="8"/>
      <c r="B9" s="53" t="s">
        <v>94</v>
      </c>
      <c r="C9" s="54">
        <f>Ergebnisse!C6</f>
        <v>0</v>
      </c>
      <c r="D9" s="54">
        <f>Ergebnisse!D6</f>
        <v>0</v>
      </c>
      <c r="E9" s="54">
        <f>Ergebnisse!E6</f>
        <v>0</v>
      </c>
      <c r="F9" s="55" t="str">
        <f t="shared" ref="F9:F14" si="0">IF(E9&gt;=2,"🔴 KRITISCH",IF(E9&gt;=1,"🟡 ACHTUNG",IF(E9&gt;0,"🟢 OK","✅ ERFÜLLT")))</f>
        <v>✅ ERFÜLLT</v>
      </c>
      <c r="G9" s="56">
        <f>Ergebnisse!F6</f>
        <v>0</v>
      </c>
      <c r="H9" s="57" t="str">
        <f>IF(E9&gt;=1,"Governance &amp; Strategie definieren","—")</f>
        <v>—</v>
      </c>
    </row>
    <row r="10" spans="1:9" ht="34.5" customHeight="1" x14ac:dyDescent="0.25">
      <c r="A10" s="8"/>
      <c r="B10" s="58" t="s">
        <v>95</v>
      </c>
      <c r="C10" s="54">
        <f>Ergebnisse!C7</f>
        <v>0</v>
      </c>
      <c r="D10" s="54">
        <f>Ergebnisse!D7</f>
        <v>0</v>
      </c>
      <c r="E10" s="54">
        <f>Ergebnisse!E7</f>
        <v>0</v>
      </c>
      <c r="F10" s="55" t="str">
        <f t="shared" si="0"/>
        <v>✅ ERFÜLLT</v>
      </c>
      <c r="G10" s="56">
        <f>Ergebnisse!F7</f>
        <v>0</v>
      </c>
      <c r="H10" s="57" t="str">
        <f>IF(E10&gt;=1,"Assets und Risiken inventarisieren","—")</f>
        <v>—</v>
      </c>
    </row>
    <row r="11" spans="1:9" ht="34.5" customHeight="1" x14ac:dyDescent="0.25">
      <c r="A11" s="8"/>
      <c r="B11" s="59" t="s">
        <v>96</v>
      </c>
      <c r="C11" s="54">
        <f>Ergebnisse!C8</f>
        <v>0</v>
      </c>
      <c r="D11" s="54">
        <f>Ergebnisse!D8</f>
        <v>0</v>
      </c>
      <c r="E11" s="54">
        <f>Ergebnisse!E8</f>
        <v>0</v>
      </c>
      <c r="F11" s="55" t="str">
        <f t="shared" si="0"/>
        <v>✅ ERFÜLLT</v>
      </c>
      <c r="G11" s="56">
        <f>Ergebnisse!F8</f>
        <v>0</v>
      </c>
      <c r="H11" s="57" t="str">
        <f>IF(E11&gt;=1,"Schutzmassnahmen umsetzen (MFA, Backup, Schulung)","—")</f>
        <v>—</v>
      </c>
    </row>
    <row r="12" spans="1:9" ht="34.5" customHeight="1" x14ac:dyDescent="0.25">
      <c r="A12" s="8"/>
      <c r="B12" s="60" t="s">
        <v>97</v>
      </c>
      <c r="C12" s="54">
        <f>Ergebnisse!C9</f>
        <v>0</v>
      </c>
      <c r="D12" s="54">
        <f>Ergebnisse!D9</f>
        <v>0</v>
      </c>
      <c r="E12" s="54">
        <f>Ergebnisse!E9</f>
        <v>0</v>
      </c>
      <c r="F12" s="55" t="str">
        <f t="shared" si="0"/>
        <v>✅ ERFÜLLT</v>
      </c>
      <c r="G12" s="56">
        <f>Ergebnisse!F9</f>
        <v>0</v>
      </c>
      <c r="H12" s="57" t="str">
        <f>IF(E12&gt;=1,"Monitoring und Erkennung verbessern","—")</f>
        <v>—</v>
      </c>
    </row>
    <row r="13" spans="1:9" ht="34.5" customHeight="1" x14ac:dyDescent="0.25">
      <c r="A13" s="8"/>
      <c r="B13" s="61" t="s">
        <v>98</v>
      </c>
      <c r="C13" s="54">
        <f>Ergebnisse!C10</f>
        <v>0</v>
      </c>
      <c r="D13" s="54">
        <f>Ergebnisse!D10</f>
        <v>0</v>
      </c>
      <c r="E13" s="54">
        <f>Ergebnisse!E10</f>
        <v>0</v>
      </c>
      <c r="F13" s="55" t="str">
        <f t="shared" si="0"/>
        <v>✅ ERFÜLLT</v>
      </c>
      <c r="G13" s="56">
        <f>Ergebnisse!F10</f>
        <v>0</v>
      </c>
      <c r="H13" s="57" t="str">
        <f>IF(E13&gt;=1,"Incident Response Plan erstellen","—")</f>
        <v>—</v>
      </c>
    </row>
    <row r="14" spans="1:9" ht="34.5" customHeight="1" x14ac:dyDescent="0.25">
      <c r="A14" s="8"/>
      <c r="B14" s="62" t="s">
        <v>99</v>
      </c>
      <c r="C14" s="54">
        <f>Ergebnisse!C11</f>
        <v>0</v>
      </c>
      <c r="D14" s="54">
        <f>Ergebnisse!D11</f>
        <v>0</v>
      </c>
      <c r="E14" s="54">
        <f>Ergebnisse!E11</f>
        <v>0</v>
      </c>
      <c r="F14" s="55" t="str">
        <f t="shared" si="0"/>
        <v>✅ ERFÜLLT</v>
      </c>
      <c r="G14" s="56">
        <f>Ergebnisse!F11</f>
        <v>0</v>
      </c>
      <c r="H14" s="57" t="str">
        <f>IF(E14&gt;=1,"Wiederherstellungspläne erstellen und testen","—")</f>
        <v>—</v>
      </c>
    </row>
    <row r="15" spans="1:9" ht="15" customHeight="1" x14ac:dyDescent="0.25">
      <c r="A15" s="8"/>
      <c r="B15" s="20" t="s">
        <v>100</v>
      </c>
      <c r="C15" s="63">
        <f>Ergebnisse!C12</f>
        <v>0</v>
      </c>
      <c r="D15" s="63">
        <f>Ergebnisse!D12</f>
        <v>0</v>
      </c>
      <c r="E15" s="64">
        <f>Ergebnisse!E12</f>
        <v>0</v>
      </c>
      <c r="F15" s="41"/>
      <c r="G15" s="21"/>
      <c r="H15" s="21"/>
    </row>
    <row r="16" spans="1:9" ht="15" customHeight="1" x14ac:dyDescent="0.25">
      <c r="A16" s="8"/>
      <c r="B16" s="8"/>
      <c r="C16" s="65"/>
      <c r="D16" s="65"/>
      <c r="E16" s="65"/>
      <c r="F16" s="8"/>
    </row>
    <row r="17" spans="1:6" ht="0.75" customHeight="1" x14ac:dyDescent="0.25">
      <c r="A17" s="8"/>
      <c r="B17" s="66" t="s">
        <v>87</v>
      </c>
      <c r="C17" s="66" t="s">
        <v>101</v>
      </c>
      <c r="D17" s="66" t="s">
        <v>102</v>
      </c>
      <c r="E17" s="66" t="s">
        <v>103</v>
      </c>
      <c r="F17" s="8"/>
    </row>
    <row r="18" spans="1:6" ht="0.75" customHeight="1" x14ac:dyDescent="0.25">
      <c r="A18" s="8"/>
      <c r="B18" s="66" t="s">
        <v>104</v>
      </c>
      <c r="C18" s="67">
        <f>Ergebnisse!C6</f>
        <v>0</v>
      </c>
      <c r="D18" s="67">
        <f>Ergebnisse!D6</f>
        <v>0</v>
      </c>
      <c r="E18" s="67">
        <f>Ergebnisse!E6</f>
        <v>0</v>
      </c>
      <c r="F18" s="8"/>
    </row>
    <row r="19" spans="1:6" ht="0.75" customHeight="1" x14ac:dyDescent="0.25">
      <c r="A19" s="8"/>
      <c r="B19" s="66" t="s">
        <v>105</v>
      </c>
      <c r="C19" s="67">
        <f>Ergebnisse!C7</f>
        <v>0</v>
      </c>
      <c r="D19" s="67">
        <f>Ergebnisse!D7</f>
        <v>0</v>
      </c>
      <c r="E19" s="67">
        <f>Ergebnisse!E7</f>
        <v>0</v>
      </c>
      <c r="F19" s="8"/>
    </row>
    <row r="20" spans="1:6" ht="0.75" customHeight="1" x14ac:dyDescent="0.25">
      <c r="A20" s="8"/>
      <c r="B20" s="66" t="s">
        <v>106</v>
      </c>
      <c r="C20" s="67">
        <f>Ergebnisse!C8</f>
        <v>0</v>
      </c>
      <c r="D20" s="67">
        <f>Ergebnisse!D8</f>
        <v>0</v>
      </c>
      <c r="E20" s="67">
        <f>Ergebnisse!E8</f>
        <v>0</v>
      </c>
      <c r="F20" s="8"/>
    </row>
    <row r="21" spans="1:6" ht="0.75" customHeight="1" x14ac:dyDescent="0.25">
      <c r="A21" s="8"/>
      <c r="B21" s="66" t="s">
        <v>107</v>
      </c>
      <c r="C21" s="67">
        <f>Ergebnisse!C9</f>
        <v>0</v>
      </c>
      <c r="D21" s="67">
        <f>Ergebnisse!D9</f>
        <v>0</v>
      </c>
      <c r="E21" s="67">
        <f>Ergebnisse!E9</f>
        <v>0</v>
      </c>
      <c r="F21" s="8"/>
    </row>
    <row r="22" spans="1:6" ht="0.75" customHeight="1" x14ac:dyDescent="0.25">
      <c r="A22" s="8"/>
      <c r="B22" s="66" t="s">
        <v>108</v>
      </c>
      <c r="C22" s="67">
        <f>Ergebnisse!C10</f>
        <v>0</v>
      </c>
      <c r="D22" s="67">
        <f>Ergebnisse!D10</f>
        <v>0</v>
      </c>
      <c r="E22" s="67">
        <f>Ergebnisse!E10</f>
        <v>0</v>
      </c>
      <c r="F22" s="8"/>
    </row>
    <row r="23" spans="1:6" ht="0.75" customHeight="1" x14ac:dyDescent="0.25">
      <c r="A23" s="8"/>
      <c r="B23" s="66" t="s">
        <v>109</v>
      </c>
      <c r="C23" s="67">
        <f>Ergebnisse!C11</f>
        <v>0</v>
      </c>
      <c r="D23" s="67">
        <f>Ergebnisse!D11</f>
        <v>0</v>
      </c>
      <c r="E23" s="67">
        <f>Ergebnisse!E11</f>
        <v>0</v>
      </c>
      <c r="F23" s="8"/>
    </row>
    <row r="24" spans="1:6" ht="0.75" customHeight="1" x14ac:dyDescent="0.25">
      <c r="A24" s="8"/>
      <c r="B24" s="8"/>
      <c r="C24" s="8"/>
      <c r="D24" s="8"/>
      <c r="E24" s="8"/>
      <c r="F24" s="8"/>
    </row>
    <row r="25" spans="1:6" ht="15" customHeight="1" x14ac:dyDescent="0.25">
      <c r="A25" s="8"/>
      <c r="B25" s="8"/>
      <c r="C25" s="8"/>
      <c r="D25" s="8"/>
      <c r="E25" s="8"/>
      <c r="F25" s="8"/>
    </row>
    <row r="26" spans="1:6" ht="15" customHeight="1" x14ac:dyDescent="0.25">
      <c r="A26" s="8"/>
      <c r="B26" s="11" t="s">
        <v>110</v>
      </c>
      <c r="C26" s="68"/>
      <c r="D26" s="8"/>
      <c r="E26" s="8"/>
      <c r="F26" s="8"/>
    </row>
    <row r="27" spans="1:6" ht="15" customHeight="1" x14ac:dyDescent="0.25">
      <c r="A27" s="8"/>
      <c r="B27" s="14" t="s">
        <v>111</v>
      </c>
      <c r="C27" s="68"/>
      <c r="D27" s="8"/>
      <c r="E27" s="8"/>
      <c r="F27" s="8"/>
    </row>
    <row r="28" spans="1:6" ht="15" customHeight="1" x14ac:dyDescent="0.25">
      <c r="A28" s="8"/>
      <c r="B28" s="8"/>
      <c r="C28" s="68"/>
      <c r="D28" s="8"/>
      <c r="E28" s="8"/>
      <c r="F28" s="8"/>
    </row>
    <row r="29" spans="1:6" ht="15" customHeight="1" x14ac:dyDescent="0.25">
      <c r="C29" s="69" t="s">
        <v>112</v>
      </c>
      <c r="D29" s="69" t="s">
        <v>113</v>
      </c>
      <c r="E29" s="69" t="s">
        <v>114</v>
      </c>
      <c r="F29" s="69" t="s">
        <v>115</v>
      </c>
    </row>
    <row r="30" spans="1:6" ht="18.75" customHeight="1" x14ac:dyDescent="0.25">
      <c r="B30" s="70" t="s">
        <v>116</v>
      </c>
      <c r="C30" s="71">
        <f>COUNTIFS(Empfehlungen!F6:F27,0,Empfehlungen!I6:I27,"Tief")</f>
        <v>0</v>
      </c>
      <c r="D30" s="71">
        <f>COUNTIFS(Empfehlungen!F6:F27,0,Empfehlungen!I6:I27,"Mittel")</f>
        <v>0</v>
      </c>
      <c r="E30" s="71">
        <f>COUNTIFS(Empfehlungen!F6:F27,0,Empfehlungen!I6:I27,"Hoch")</f>
        <v>0</v>
      </c>
      <c r="F30" s="71">
        <f>COUNTIFS(Empfehlungen!F6:F27,0,Empfehlungen!I6:I27,"Sehr hoch")</f>
        <v>0</v>
      </c>
    </row>
    <row r="31" spans="1:6" ht="18.75" customHeight="1" x14ac:dyDescent="0.25">
      <c r="B31" s="70" t="s">
        <v>117</v>
      </c>
      <c r="C31" s="72">
        <f>COUNTIFS(Empfehlungen!F6:F27,1,Empfehlungen!I6:I27,"Tief")</f>
        <v>0</v>
      </c>
      <c r="D31" s="72">
        <f>COUNTIFS(Empfehlungen!F6:F27,1,Empfehlungen!I6:I27,"Mittel")</f>
        <v>0</v>
      </c>
      <c r="E31" s="73">
        <f>COUNTIFS(Empfehlungen!F6:F27,1,Empfehlungen!I6:I27,"Hoch")</f>
        <v>0</v>
      </c>
      <c r="F31" s="73">
        <f>COUNTIFS(Empfehlungen!F6:F27,1,Empfehlungen!I6:I27,"Sehr hoch")</f>
        <v>0</v>
      </c>
    </row>
    <row r="32" spans="1:6" ht="18.75" customHeight="1" x14ac:dyDescent="0.25">
      <c r="B32" s="70" t="s">
        <v>118</v>
      </c>
      <c r="C32" s="72">
        <f>COUNTIFS(Empfehlungen!F6:F27,2,Empfehlungen!I6:I27,"Tief")</f>
        <v>0</v>
      </c>
      <c r="D32" s="73">
        <f>COUNTIFS(Empfehlungen!F6:F27,2,Empfehlungen!I6:I27,"Mittel")</f>
        <v>0</v>
      </c>
      <c r="E32" s="74">
        <f>COUNTIFS(Empfehlungen!F6:F27,2,Empfehlungen!I6:I27,"Hoch")</f>
        <v>0</v>
      </c>
      <c r="F32" s="74">
        <f>COUNTIFS(Empfehlungen!F6:F27,2,Empfehlungen!I6:I27,"Sehr hoch")</f>
        <v>0</v>
      </c>
    </row>
    <row r="33" spans="2:8" ht="18.75" customHeight="1" x14ac:dyDescent="0.25">
      <c r="B33" s="70" t="s">
        <v>119</v>
      </c>
      <c r="C33" s="73">
        <f>COUNTIFS(Empfehlungen!F6:F27,"&gt;="&amp;3,Empfehlungen!I6:I27,"Tief")</f>
        <v>0</v>
      </c>
      <c r="D33" s="74">
        <f>COUNTIFS(Empfehlungen!F6:F27,"&gt;="&amp;3,Empfehlungen!I6:I27,"Mittel")</f>
        <v>0</v>
      </c>
      <c r="E33" s="75">
        <f>COUNTIFS(Empfehlungen!F6:F27,"&gt;="&amp;3,Empfehlungen!I6:I27,"Hoch")</f>
        <v>0</v>
      </c>
      <c r="F33" s="75">
        <f>COUNTIFS(Empfehlungen!F6:F27,"&gt;="&amp;3,Empfehlungen!I6:I27,"Sehr hoch")</f>
        <v>0</v>
      </c>
    </row>
    <row r="35" spans="2:8" ht="15" customHeight="1" x14ac:dyDescent="0.25">
      <c r="B35" s="76" t="s">
        <v>120</v>
      </c>
      <c r="C35" s="77" t="s">
        <v>121</v>
      </c>
      <c r="D35" s="78" t="s">
        <v>122</v>
      </c>
      <c r="E35" s="79" t="s">
        <v>123</v>
      </c>
      <c r="F35" s="80" t="s">
        <v>124</v>
      </c>
      <c r="G35" s="81" t="s">
        <v>125</v>
      </c>
    </row>
    <row r="37" spans="2:8" ht="15" customHeight="1" x14ac:dyDescent="0.25">
      <c r="B37" s="82" t="s">
        <v>126</v>
      </c>
    </row>
    <row r="38" spans="2:8" ht="15.75" customHeight="1" x14ac:dyDescent="0.25">
      <c r="B38" s="16" t="s">
        <v>127</v>
      </c>
      <c r="C38" s="83">
        <f>Gefährdung!E16</f>
        <v>0</v>
      </c>
      <c r="D38" s="84" t="str">
        <f>IF(Gefährdung!E16&lt;0.3,"Gut geschützt",IF(Gefährdung!E16&lt;0.5,"Lücken vorhanden",IF(Gefährdung!E16&lt;0.7,"Wesentliche Lücken","Schwerwiegend")))</f>
        <v>Gut geschützt</v>
      </c>
      <c r="E38" s="85" t="s">
        <v>128</v>
      </c>
    </row>
    <row r="39" spans="2:8" ht="15.75" customHeight="1" x14ac:dyDescent="0.25">
      <c r="B39" s="16" t="s">
        <v>129</v>
      </c>
      <c r="C39" s="83">
        <f>Gefährdung!E29</f>
        <v>0</v>
      </c>
      <c r="D39" s="84" t="str">
        <f>IF(Gefährdung!E29&lt;0.3,"Tiefe Exposition",IF(Gefährdung!E29&lt;0.5,"Moderate Exposition",IF(Gefährdung!E29&lt;0.7,"Hohe Exposition","Sehr hoch")))</f>
        <v>Tiefe Exposition</v>
      </c>
      <c r="E39" s="85" t="s">
        <v>130</v>
      </c>
    </row>
    <row r="40" spans="2:8" ht="15.75" customHeight="1" x14ac:dyDescent="0.25">
      <c r="B40" s="16"/>
      <c r="C40" s="83"/>
      <c r="D40" s="84"/>
      <c r="E40" s="85"/>
    </row>
    <row r="41" spans="2:8" ht="15" customHeight="1" x14ac:dyDescent="0.25">
      <c r="B41" s="230" t="s">
        <v>131</v>
      </c>
      <c r="C41" s="230"/>
      <c r="D41" s="230"/>
      <c r="E41" s="230"/>
      <c r="F41" s="230"/>
      <c r="G41" s="230"/>
      <c r="H41" s="230"/>
    </row>
    <row r="42" spans="2:8" ht="15" customHeight="1" x14ac:dyDescent="0.25">
      <c r="B42" s="1" t="s">
        <v>53</v>
      </c>
      <c r="C42" s="1" t="s">
        <v>54</v>
      </c>
      <c r="D42" s="226" t="s">
        <v>132</v>
      </c>
      <c r="E42" s="226"/>
    </row>
    <row r="43" spans="2:8" ht="35.25" customHeight="1" x14ac:dyDescent="0.25">
      <c r="B43" s="86" t="s">
        <v>133</v>
      </c>
      <c r="C43" s="87">
        <f>Unternehmensdaten!D28</f>
        <v>50000</v>
      </c>
      <c r="D43" s="224" t="s">
        <v>134</v>
      </c>
      <c r="E43" s="224"/>
    </row>
    <row r="44" spans="2:8" ht="35.25" customHeight="1" x14ac:dyDescent="0.25">
      <c r="B44" s="88" t="s">
        <v>135</v>
      </c>
      <c r="C44" s="89">
        <f>Unternehmensdaten!D16</f>
        <v>0</v>
      </c>
      <c r="D44" s="224" t="s">
        <v>136</v>
      </c>
      <c r="E44" s="224"/>
    </row>
    <row r="45" spans="2:8" ht="35.25" customHeight="1" x14ac:dyDescent="0.25">
      <c r="B45" s="90" t="s">
        <v>137</v>
      </c>
      <c r="C45" s="91">
        <f>Unternehmensdaten!D34</f>
        <v>5000</v>
      </c>
      <c r="D45" s="224" t="s">
        <v>138</v>
      </c>
      <c r="E45" s="224"/>
    </row>
    <row r="46" spans="2:8" ht="35.25" customHeight="1" x14ac:dyDescent="0.25">
      <c r="B46" s="92" t="s">
        <v>139</v>
      </c>
      <c r="C46" s="93">
        <f>MAX(0,C45-C44)</f>
        <v>5000</v>
      </c>
      <c r="D46" s="224" t="s">
        <v>140</v>
      </c>
      <c r="E46" s="224"/>
    </row>
    <row r="47" spans="2:8" ht="35.25" customHeight="1" x14ac:dyDescent="0.25">
      <c r="B47" s="86" t="s">
        <v>141</v>
      </c>
      <c r="C47" s="94" t="str">
        <f>Unternehmensdaten!D33</f>
        <v>Nie</v>
      </c>
      <c r="D47" s="224" t="s">
        <v>142</v>
      </c>
      <c r="E47" s="224"/>
    </row>
    <row r="48" spans="2:8" ht="15" customHeight="1" x14ac:dyDescent="0.25">
      <c r="B48" s="95"/>
      <c r="C48" s="95"/>
      <c r="D48" s="95"/>
    </row>
    <row r="49" spans="2:8" ht="0.75" customHeight="1" x14ac:dyDescent="0.25">
      <c r="B49" s="66"/>
      <c r="C49" s="67" t="s">
        <v>143</v>
      </c>
      <c r="D49" s="95"/>
    </row>
    <row r="50" spans="2:8" ht="0.75" customHeight="1" x14ac:dyDescent="0.25">
      <c r="B50" s="66" t="s">
        <v>144</v>
      </c>
      <c r="C50" s="67">
        <f>Unternehmensdaten!D28</f>
        <v>50000</v>
      </c>
      <c r="D50" s="95"/>
    </row>
    <row r="51" spans="2:8" ht="0.75" customHeight="1" x14ac:dyDescent="0.25">
      <c r="B51" s="66" t="s">
        <v>145</v>
      </c>
      <c r="C51" s="67">
        <f>Unternehmensdaten!D16</f>
        <v>0</v>
      </c>
      <c r="D51" s="95"/>
    </row>
    <row r="52" spans="2:8" ht="0.75" customHeight="1" x14ac:dyDescent="0.25">
      <c r="B52" s="66" t="s">
        <v>146</v>
      </c>
      <c r="C52" s="67">
        <f>Unternehmensdaten!D34</f>
        <v>5000</v>
      </c>
      <c r="D52" s="95"/>
    </row>
    <row r="53" spans="2:8" ht="0.75" customHeight="1" x14ac:dyDescent="0.25">
      <c r="B53" s="95"/>
      <c r="C53" s="95"/>
      <c r="D53" s="95"/>
    </row>
    <row r="55" spans="2:8" ht="30" customHeight="1" x14ac:dyDescent="0.25">
      <c r="B55" s="225" t="s">
        <v>147</v>
      </c>
      <c r="C55" s="225"/>
      <c r="D55" s="225"/>
      <c r="E55" s="225"/>
      <c r="F55" s="225"/>
      <c r="G55" s="225"/>
      <c r="H55" s="225"/>
    </row>
    <row r="56" spans="2:8" ht="24.75" customHeight="1" x14ac:dyDescent="0.25">
      <c r="B56" s="223" t="s">
        <v>148</v>
      </c>
      <c r="C56" s="223"/>
      <c r="D56" s="223"/>
      <c r="E56" s="223"/>
      <c r="F56" s="223"/>
      <c r="G56" s="223"/>
      <c r="H56" s="223"/>
    </row>
    <row r="57" spans="2:8" ht="24.75" customHeight="1" x14ac:dyDescent="0.25">
      <c r="B57" s="223" t="s">
        <v>149</v>
      </c>
      <c r="C57" s="223"/>
      <c r="D57" s="223"/>
      <c r="E57" s="223"/>
      <c r="F57" s="223"/>
      <c r="G57" s="223"/>
      <c r="H57" s="223"/>
    </row>
    <row r="58" spans="2:8" ht="24.75" customHeight="1" x14ac:dyDescent="0.25">
      <c r="B58" s="223" t="s">
        <v>150</v>
      </c>
      <c r="C58" s="223"/>
      <c r="D58" s="223"/>
      <c r="E58" s="223"/>
      <c r="F58" s="223"/>
      <c r="G58" s="223"/>
      <c r="H58" s="223"/>
    </row>
    <row r="59" spans="2:8" ht="24.75" customHeight="1" x14ac:dyDescent="0.25">
      <c r="B59" s="223" t="s">
        <v>151</v>
      </c>
      <c r="C59" s="223"/>
      <c r="D59" s="223"/>
      <c r="E59" s="223"/>
      <c r="F59" s="223"/>
      <c r="G59" s="223"/>
      <c r="H59" s="223"/>
    </row>
    <row r="60" spans="2:8" ht="24.75" customHeight="1" x14ac:dyDescent="0.25">
      <c r="B60" s="223" t="s">
        <v>152</v>
      </c>
      <c r="C60" s="223"/>
      <c r="D60" s="223"/>
      <c r="E60" s="223"/>
      <c r="F60" s="223"/>
      <c r="G60" s="223"/>
      <c r="H60" s="223"/>
    </row>
  </sheetData>
  <sheetProtection sheet="1" objects="1" scenarios="1"/>
  <mergeCells count="22">
    <mergeCell ref="B1:H1"/>
    <mergeCell ref="B2:H2"/>
    <mergeCell ref="B4:C4"/>
    <mergeCell ref="D4:E4"/>
    <mergeCell ref="F4:G4"/>
    <mergeCell ref="D5:E5"/>
    <mergeCell ref="D6:E6"/>
    <mergeCell ref="F6:G6"/>
    <mergeCell ref="B7:H7"/>
    <mergeCell ref="B41:H41"/>
    <mergeCell ref="D42:E42"/>
    <mergeCell ref="D43:E43"/>
    <mergeCell ref="D44:E44"/>
    <mergeCell ref="D45:E45"/>
    <mergeCell ref="D46:E46"/>
    <mergeCell ref="B59:H59"/>
    <mergeCell ref="B60:H60"/>
    <mergeCell ref="D47:E47"/>
    <mergeCell ref="B55:H55"/>
    <mergeCell ref="B56:H56"/>
    <mergeCell ref="B57:H57"/>
    <mergeCell ref="B58:H58"/>
  </mergeCells>
  <conditionalFormatting sqref="E9:E14">
    <cfRule type="cellIs" dxfId="19" priority="2" operator="greaterThanOrEqual">
      <formula>2</formula>
    </cfRule>
    <cfRule type="cellIs" dxfId="18" priority="3" operator="greaterThanOrEqual">
      <formula>1</formula>
    </cfRule>
    <cfRule type="cellIs" dxfId="17" priority="4" operator="lessThan">
      <formula>1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F43"/>
  <sheetViews>
    <sheetView zoomScaleNormal="100" workbookViewId="0">
      <selection activeCell="B45" sqref="B45"/>
    </sheetView>
  </sheetViews>
  <sheetFormatPr baseColWidth="10" defaultColWidth="9.140625" defaultRowHeight="15" x14ac:dyDescent="0.25"/>
  <cols>
    <col min="1" max="1" width="2" customWidth="1"/>
    <col min="2" max="2" width="28" customWidth="1"/>
    <col min="3" max="3" width="19.7109375" customWidth="1"/>
    <col min="4" max="4" width="16.85546875" customWidth="1"/>
    <col min="5" max="5" width="33.140625" customWidth="1"/>
    <col min="6" max="6" width="17" customWidth="1"/>
  </cols>
  <sheetData>
    <row r="2" spans="2:6" ht="23.25" customHeight="1" x14ac:dyDescent="0.35">
      <c r="B2" s="96" t="s">
        <v>153</v>
      </c>
    </row>
    <row r="3" spans="2:6" ht="15" customHeight="1" x14ac:dyDescent="0.25">
      <c r="B3" s="97" t="s">
        <v>154</v>
      </c>
    </row>
    <row r="4" spans="2:6" ht="17.25" customHeight="1" x14ac:dyDescent="0.3">
      <c r="B4" s="98">
        <f>Unternehmensdaten!D6</f>
        <v>0</v>
      </c>
      <c r="D4" s="99" t="s">
        <v>155</v>
      </c>
      <c r="E4" s="100">
        <f>Unternehmensdaten!D9</f>
        <v>0</v>
      </c>
    </row>
    <row r="6" spans="2:6" ht="17.25" customHeight="1" x14ac:dyDescent="0.3">
      <c r="B6" s="98" t="s">
        <v>156</v>
      </c>
    </row>
    <row r="7" spans="2:6" ht="15" customHeight="1" x14ac:dyDescent="0.25">
      <c r="B7" s="101" t="s">
        <v>157</v>
      </c>
      <c r="C7" s="101" t="s">
        <v>158</v>
      </c>
      <c r="D7" s="101" t="s">
        <v>159</v>
      </c>
      <c r="E7" s="101" t="s">
        <v>160</v>
      </c>
    </row>
    <row r="8" spans="2:6" ht="21" customHeight="1" x14ac:dyDescent="0.35">
      <c r="B8" s="102">
        <f>Ergebnisse!C12</f>
        <v>0</v>
      </c>
      <c r="C8" s="103">
        <f>Unternehmensdaten!D28</f>
        <v>50000</v>
      </c>
      <c r="D8" s="104">
        <f>Gefährdung!E35</f>
        <v>0</v>
      </c>
      <c r="E8" s="105">
        <f>IF(Unternehmensdaten!D34=0,"—",Unternehmensdaten!D16/Unternehmensdaten!D34)</f>
        <v>0</v>
      </c>
    </row>
    <row r="9" spans="2:6" ht="15" customHeight="1" x14ac:dyDescent="0.25">
      <c r="B9" s="106" t="str">
        <f>IF(Ergebnisse!C12&gt;=3,"Gut",IF(Ergebnisse!C12&gt;=2,"Mittel","Kritisch"))</f>
        <v>Kritisch</v>
      </c>
      <c r="C9" s="107" t="s">
        <v>161</v>
      </c>
      <c r="D9" s="106" t="str">
        <f>IF(Gefährdung!E35&lt;0.3,"Tief",IF(Gefährdung!E35&lt;0.5,"Mittel","Hoch"))</f>
        <v>Tief</v>
      </c>
      <c r="E9" s="107" t="s">
        <v>162</v>
      </c>
    </row>
    <row r="10" spans="2:6" ht="45" customHeight="1" x14ac:dyDescent="0.25">
      <c r="B10" s="108"/>
      <c r="C10" s="109" t="s">
        <v>163</v>
      </c>
      <c r="D10" s="110" t="str">
        <f>IF(Gefährdung!E35&lt;0.3,"Grundschutz vorhanden — Regelmässige Überprüfung beibehalten.",IF(Gefährdung!E35&lt;0.5,"Lücken vorhanden — Quick Wins starten und Budget einplanen.",IF(Gefährdung!E35&lt;0.7,"Wesentliche Lücken — Sofortmassnahmen nötig. GL einbeziehen.","Kritisch — Das Unternehmen ist ein leichtes Ziel. Sofort handeln.")))</f>
        <v>Grundschutz vorhanden — Regelmässige Überprüfung beibehalten.</v>
      </c>
    </row>
    <row r="11" spans="2:6" ht="15.75" customHeight="1" x14ac:dyDescent="0.25">
      <c r="B11" s="11" t="s">
        <v>86</v>
      </c>
    </row>
    <row r="12" spans="2:6" ht="15" customHeight="1" x14ac:dyDescent="0.25">
      <c r="B12" s="111" t="s">
        <v>87</v>
      </c>
      <c r="C12" s="111" t="s">
        <v>101</v>
      </c>
      <c r="D12" s="111" t="s">
        <v>102</v>
      </c>
      <c r="E12" s="111" t="s">
        <v>103</v>
      </c>
      <c r="F12" s="111" t="s">
        <v>91</v>
      </c>
    </row>
    <row r="13" spans="2:6" ht="15" customHeight="1" x14ac:dyDescent="0.25">
      <c r="B13" s="112" t="s">
        <v>104</v>
      </c>
      <c r="C13" s="113">
        <f>Ergebnisse!C6</f>
        <v>0</v>
      </c>
      <c r="D13" s="113">
        <f>Ergebnisse!D6</f>
        <v>0</v>
      </c>
      <c r="E13" s="113">
        <f>Ergebnisse!E6</f>
        <v>0</v>
      </c>
      <c r="F13" s="114" t="str">
        <f>IF(Ergebnisse!E6&gt;=2,"KRITISCH",IF(Ergebnisse!E6&gt;=1,"ACHTUNG",IF(Ergebnisse!E6&gt;0,"OK","ERFÜLLT")))</f>
        <v>ERFÜLLT</v>
      </c>
    </row>
    <row r="14" spans="2:6" ht="15" customHeight="1" x14ac:dyDescent="0.25">
      <c r="B14" s="112" t="s">
        <v>105</v>
      </c>
      <c r="C14" s="113">
        <f>Ergebnisse!C7</f>
        <v>0</v>
      </c>
      <c r="D14" s="113">
        <f>Ergebnisse!D7</f>
        <v>0</v>
      </c>
      <c r="E14" s="113">
        <f>Ergebnisse!E7</f>
        <v>0</v>
      </c>
      <c r="F14" s="114" t="str">
        <f>IF(Ergebnisse!E7&gt;=2,"KRITISCH",IF(Ergebnisse!E7&gt;=1,"ACHTUNG",IF(Ergebnisse!E7&gt;0,"OK","ERFÜLLT")))</f>
        <v>ERFÜLLT</v>
      </c>
    </row>
    <row r="15" spans="2:6" ht="15" customHeight="1" x14ac:dyDescent="0.25">
      <c r="B15" s="112" t="s">
        <v>106</v>
      </c>
      <c r="C15" s="113">
        <f>Ergebnisse!C8</f>
        <v>0</v>
      </c>
      <c r="D15" s="113">
        <f>Ergebnisse!D8</f>
        <v>0</v>
      </c>
      <c r="E15" s="113">
        <f>Ergebnisse!E8</f>
        <v>0</v>
      </c>
      <c r="F15" s="114" t="str">
        <f>IF(Ergebnisse!E8&gt;=2,"KRITISCH",IF(Ergebnisse!E8&gt;=1,"ACHTUNG",IF(Ergebnisse!E8&gt;0,"OK","ERFÜLLT")))</f>
        <v>ERFÜLLT</v>
      </c>
    </row>
    <row r="16" spans="2:6" ht="15" customHeight="1" x14ac:dyDescent="0.25">
      <c r="B16" s="112" t="s">
        <v>107</v>
      </c>
      <c r="C16" s="113">
        <f>Ergebnisse!C9</f>
        <v>0</v>
      </c>
      <c r="D16" s="113">
        <f>Ergebnisse!D9</f>
        <v>0</v>
      </c>
      <c r="E16" s="113">
        <f>Ergebnisse!E9</f>
        <v>0</v>
      </c>
      <c r="F16" s="114" t="str">
        <f>IF(Ergebnisse!E9&gt;=2,"KRITISCH",IF(Ergebnisse!E9&gt;=1,"ACHTUNG",IF(Ergebnisse!E9&gt;0,"OK","ERFÜLLT")))</f>
        <v>ERFÜLLT</v>
      </c>
    </row>
    <row r="17" spans="2:6" ht="15" customHeight="1" x14ac:dyDescent="0.25">
      <c r="B17" s="112" t="s">
        <v>108</v>
      </c>
      <c r="C17" s="113">
        <f>Ergebnisse!C10</f>
        <v>0</v>
      </c>
      <c r="D17" s="113">
        <f>Ergebnisse!D10</f>
        <v>0</v>
      </c>
      <c r="E17" s="113">
        <f>Ergebnisse!E10</f>
        <v>0</v>
      </c>
      <c r="F17" s="114" t="str">
        <f>IF(Ergebnisse!E10&gt;=2,"KRITISCH",IF(Ergebnisse!E10&gt;=1,"ACHTUNG",IF(Ergebnisse!E10&gt;0,"OK","ERFÜLLT")))</f>
        <v>ERFÜLLT</v>
      </c>
    </row>
    <row r="18" spans="2:6" ht="15" customHeight="1" x14ac:dyDescent="0.25">
      <c r="B18" s="112" t="s">
        <v>109</v>
      </c>
      <c r="C18" s="113">
        <f>Ergebnisse!C11</f>
        <v>0</v>
      </c>
      <c r="D18" s="113">
        <f>Ergebnisse!D11</f>
        <v>0</v>
      </c>
      <c r="E18" s="113">
        <f>Ergebnisse!E11</f>
        <v>0</v>
      </c>
      <c r="F18" s="114" t="str">
        <f>IF(Ergebnisse!E11&gt;=2,"KRITISCH",IF(Ergebnisse!E11&gt;=1,"ACHTUNG",IF(Ergebnisse!E11&gt;0,"OK","ERFÜLLT")))</f>
        <v>ERFÜLLT</v>
      </c>
    </row>
    <row r="20" spans="2:6" ht="15.75" customHeight="1" x14ac:dyDescent="0.25">
      <c r="B20" s="11" t="s">
        <v>164</v>
      </c>
    </row>
    <row r="21" spans="2:6" ht="15" customHeight="1" x14ac:dyDescent="0.25">
      <c r="B21" s="115" t="s">
        <v>165</v>
      </c>
      <c r="C21" s="116">
        <f>Unternehmensdaten!D28</f>
        <v>50000</v>
      </c>
    </row>
    <row r="22" spans="2:6" ht="15" customHeight="1" x14ac:dyDescent="0.25">
      <c r="B22" s="115" t="s">
        <v>166</v>
      </c>
      <c r="C22" s="116">
        <f>Unternehmensdaten!D16</f>
        <v>0</v>
      </c>
    </row>
    <row r="23" spans="2:6" ht="15" customHeight="1" x14ac:dyDescent="0.25">
      <c r="B23" s="115" t="s">
        <v>146</v>
      </c>
      <c r="C23" s="116">
        <f>Unternehmensdaten!D34</f>
        <v>5000</v>
      </c>
    </row>
    <row r="24" spans="2:6" ht="15" customHeight="1" x14ac:dyDescent="0.25">
      <c r="B24" s="115" t="s">
        <v>167</v>
      </c>
      <c r="C24" s="116">
        <f>MAX(0,Unternehmensdaten!D34-Unternehmensdaten!D16)</f>
        <v>5000</v>
      </c>
    </row>
    <row r="25" spans="2:6" ht="15" customHeight="1" x14ac:dyDescent="0.25">
      <c r="B25" s="115" t="s">
        <v>168</v>
      </c>
      <c r="C25" s="117" t="str">
        <f>Unternehmensdaten!D33</f>
        <v>Nie</v>
      </c>
    </row>
    <row r="28" spans="2:6" ht="15.75" customHeight="1" x14ac:dyDescent="0.25">
      <c r="B28" s="11" t="s">
        <v>169</v>
      </c>
    </row>
    <row r="29" spans="2:6" ht="15" customHeight="1" x14ac:dyDescent="0.25">
      <c r="B29" s="13" t="s">
        <v>170</v>
      </c>
    </row>
    <row r="30" spans="2:6" ht="15" customHeight="1" x14ac:dyDescent="0.25">
      <c r="B30" s="118" t="s">
        <v>171</v>
      </c>
      <c r="C30" s="118" t="s">
        <v>172</v>
      </c>
      <c r="D30" s="118" t="s">
        <v>173</v>
      </c>
      <c r="E30" s="118" t="s">
        <v>174</v>
      </c>
    </row>
    <row r="31" spans="2:6" ht="48" customHeight="1" x14ac:dyDescent="0.25">
      <c r="B31" s="119" t="str">
        <f>IFERROR(INDEX(Empfehlungen!B6:B27,MATCH(LARGE(Empfehlungen!M6:M27,1),Empfehlungen!M6:M27,0)),"—")</f>
        <v>—</v>
      </c>
      <c r="C31" s="120" t="str">
        <f>IFERROR(INDEX(Empfehlungen!C6:C27,MATCH(LARGE(Empfehlungen!M6:M27,1),Empfehlungen!M6:M27,0)),"—")</f>
        <v>—</v>
      </c>
      <c r="D31" s="119" t="str">
        <f>IFERROR(INDEX(Empfehlungen!N6:N27,MATCH(LARGE(Empfehlungen!M6:M27,1),Empfehlungen!M6:M27,0)),"—")</f>
        <v>—</v>
      </c>
      <c r="E31" s="121" t="str">
        <f>IFERROR(INDEX(Empfehlungen!G6:G27,MATCH(LARGE(Empfehlungen!M6:M27,1),Empfehlungen!M6:M27,0)),"—")</f>
        <v>—</v>
      </c>
    </row>
    <row r="32" spans="2:6" ht="48" customHeight="1" x14ac:dyDescent="0.25">
      <c r="B32" s="119" t="str">
        <f>IFERROR(INDEX(Empfehlungen!B6:B27,MATCH(LARGE(Empfehlungen!M6:M27,2),Empfehlungen!M6:M27,0)),"—")</f>
        <v>—</v>
      </c>
      <c r="C32" s="120" t="str">
        <f>IFERROR(INDEX(Empfehlungen!C6:C27,MATCH(LARGE(Empfehlungen!M6:M27,2),Empfehlungen!M6:M27,0)),"—")</f>
        <v>—</v>
      </c>
      <c r="D32" s="119" t="str">
        <f>IFERROR(INDEX(Empfehlungen!N6:N27,MATCH(LARGE(Empfehlungen!M6:M27,2),Empfehlungen!M6:M27,0)),"—")</f>
        <v>—</v>
      </c>
      <c r="E32" s="121" t="str">
        <f>IFERROR(INDEX(Empfehlungen!G6:G27,MATCH(LARGE(Empfehlungen!M6:M27,2),Empfehlungen!M6:M27,0)),"—")</f>
        <v>—</v>
      </c>
    </row>
    <row r="33" spans="2:5" ht="48" customHeight="1" x14ac:dyDescent="0.25">
      <c r="B33" s="119" t="str">
        <f>IFERROR(INDEX(Empfehlungen!B6:B27,MATCH(LARGE(Empfehlungen!M6:M27,3),Empfehlungen!M6:M27,0)),"—")</f>
        <v>—</v>
      </c>
      <c r="C33" s="120" t="str">
        <f>IFERROR(INDEX(Empfehlungen!C6:C27,MATCH(LARGE(Empfehlungen!M6:M27,3),Empfehlungen!M6:M27,0)),"—")</f>
        <v>—</v>
      </c>
      <c r="D33" s="119" t="str">
        <f>IFERROR(INDEX(Empfehlungen!N6:N27,MATCH(LARGE(Empfehlungen!M6:M27,3),Empfehlungen!M6:M27,0)),"—")</f>
        <v>—</v>
      </c>
      <c r="E33" s="121" t="str">
        <f>IFERROR(INDEX(Empfehlungen!G6:G27,MATCH(LARGE(Empfehlungen!M6:M27,3),Empfehlungen!M6:M27,0)),"—")</f>
        <v>—</v>
      </c>
    </row>
    <row r="36" spans="2:5" ht="15.75" customHeight="1" x14ac:dyDescent="0.25">
      <c r="B36" s="11" t="s">
        <v>175</v>
      </c>
    </row>
    <row r="37" spans="2:5" ht="15" customHeight="1" x14ac:dyDescent="0.25">
      <c r="B37" s="8" t="s">
        <v>176</v>
      </c>
    </row>
    <row r="38" spans="2:5" ht="15" customHeight="1" x14ac:dyDescent="0.25">
      <c r="B38" s="8" t="s">
        <v>177</v>
      </c>
    </row>
    <row r="39" spans="2:5" ht="15" customHeight="1" x14ac:dyDescent="0.25">
      <c r="B39" s="8" t="s">
        <v>178</v>
      </c>
    </row>
    <row r="40" spans="2:5" ht="15" customHeight="1" x14ac:dyDescent="0.25">
      <c r="B40" s="8" t="s">
        <v>179</v>
      </c>
    </row>
    <row r="41" spans="2:5" ht="15" customHeight="1" x14ac:dyDescent="0.25">
      <c r="B41" s="8" t="s">
        <v>180</v>
      </c>
    </row>
    <row r="43" spans="2:5" ht="15" customHeight="1" x14ac:dyDescent="0.25">
      <c r="B43" s="13" t="s">
        <v>181</v>
      </c>
      <c r="E43" s="13" t="s">
        <v>182</v>
      </c>
    </row>
  </sheetData>
  <sheetProtection sheet="1" objects="1" scenarios="1"/>
  <conditionalFormatting sqref="F13:F18">
    <cfRule type="expression" dxfId="16" priority="2">
      <formula>F13="KRITISCH"</formula>
    </cfRule>
    <cfRule type="expression" dxfId="15" priority="3">
      <formula>F13="ACHTUNG"</formula>
    </cfRule>
    <cfRule type="expression" dxfId="14" priority="4">
      <formula>OR(F13="OK",F13="ERFÜLLT")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472C4"/>
  </sheetPr>
  <dimension ref="B2:I44"/>
  <sheetViews>
    <sheetView showGridLines="0" zoomScaleNormal="100" workbookViewId="0">
      <selection activeCell="F7" sqref="F7"/>
    </sheetView>
  </sheetViews>
  <sheetFormatPr baseColWidth="10" defaultColWidth="8.7109375" defaultRowHeight="15" x14ac:dyDescent="0.25"/>
  <cols>
    <col min="1" max="1" width="3" customWidth="1"/>
    <col min="2" max="2" width="12" customWidth="1"/>
    <col min="3" max="4" width="45" customWidth="1"/>
    <col min="5" max="5" width="25.85546875" customWidth="1"/>
    <col min="6" max="7" width="14" customWidth="1"/>
    <col min="8" max="8" width="30" customWidth="1"/>
    <col min="9" max="9" width="18.85546875" customWidth="1"/>
  </cols>
  <sheetData>
    <row r="2" spans="2:9" ht="19.5" customHeight="1" x14ac:dyDescent="0.35">
      <c r="B2" s="239" t="s">
        <v>183</v>
      </c>
      <c r="C2" s="239"/>
      <c r="D2" s="239"/>
      <c r="E2" s="239"/>
      <c r="F2" s="239"/>
      <c r="G2" s="239"/>
      <c r="H2" s="239"/>
    </row>
    <row r="3" spans="2:9" ht="15" customHeight="1" x14ac:dyDescent="0.25">
      <c r="B3" s="240" t="s">
        <v>184</v>
      </c>
      <c r="C3" s="240"/>
      <c r="D3" s="240"/>
      <c r="E3" s="240"/>
      <c r="F3" s="240"/>
      <c r="G3" s="240"/>
      <c r="H3" s="240"/>
    </row>
    <row r="5" spans="2:9" ht="39" customHeight="1" x14ac:dyDescent="0.25">
      <c r="B5" s="1"/>
      <c r="C5" s="1" t="s">
        <v>171</v>
      </c>
      <c r="D5" s="1" t="s">
        <v>172</v>
      </c>
      <c r="E5" s="1" t="s">
        <v>185</v>
      </c>
      <c r="F5" s="1" t="s">
        <v>186</v>
      </c>
      <c r="G5" s="1" t="s">
        <v>187</v>
      </c>
      <c r="H5" s="1" t="s">
        <v>188</v>
      </c>
      <c r="I5" s="1" t="s">
        <v>189</v>
      </c>
    </row>
    <row r="6" spans="2:9" ht="27.75" customHeight="1" x14ac:dyDescent="0.25">
      <c r="B6" s="241" t="s">
        <v>190</v>
      </c>
      <c r="C6" s="241"/>
      <c r="D6" s="241"/>
      <c r="E6" s="241"/>
      <c r="F6" s="241"/>
      <c r="G6" s="241"/>
      <c r="H6" s="241"/>
      <c r="I6" s="241"/>
    </row>
    <row r="7" spans="2:9" ht="49.5" customHeight="1" x14ac:dyDescent="0.25">
      <c r="C7" s="122" t="s">
        <v>191</v>
      </c>
      <c r="D7" s="123" t="s">
        <v>192</v>
      </c>
      <c r="E7" s="124" t="s">
        <v>193</v>
      </c>
      <c r="F7" s="253"/>
      <c r="G7" s="253"/>
      <c r="H7" s="125" t="str">
        <f t="shared" ref="H7:H12" si="0">IF(OR(F7="",G7=""),"",VALUE(LEFT(G7,1))-VALUE(LEFT(F7,1)))</f>
        <v/>
      </c>
      <c r="I7" s="126" t="str">
        <f t="shared" ref="I7:I12" si="1">IF(H7="","",IF(H7&gt;=2,"⚠️ Hoher Handlungsbedarf",IF(H7&gt;=1,"⚡ Handlungsbedarf","✅ OK")))</f>
        <v/>
      </c>
    </row>
    <row r="8" spans="2:9" ht="49.5" customHeight="1" x14ac:dyDescent="0.25">
      <c r="C8" s="122" t="s">
        <v>194</v>
      </c>
      <c r="D8" s="123" t="s">
        <v>195</v>
      </c>
      <c r="E8" s="124" t="s">
        <v>196</v>
      </c>
      <c r="F8" s="253"/>
      <c r="G8" s="253"/>
      <c r="H8" s="125" t="str">
        <f t="shared" si="0"/>
        <v/>
      </c>
      <c r="I8" s="126" t="str">
        <f t="shared" si="1"/>
        <v/>
      </c>
    </row>
    <row r="9" spans="2:9" ht="49.5" customHeight="1" x14ac:dyDescent="0.25">
      <c r="C9" s="122" t="s">
        <v>197</v>
      </c>
      <c r="D9" s="123" t="s">
        <v>198</v>
      </c>
      <c r="E9" s="124" t="s">
        <v>199</v>
      </c>
      <c r="F9" s="253"/>
      <c r="G9" s="253"/>
      <c r="H9" s="125" t="str">
        <f t="shared" si="0"/>
        <v/>
      </c>
      <c r="I9" s="126" t="str">
        <f t="shared" si="1"/>
        <v/>
      </c>
    </row>
    <row r="10" spans="2:9" ht="49.5" customHeight="1" x14ac:dyDescent="0.25">
      <c r="C10" s="122" t="s">
        <v>200</v>
      </c>
      <c r="D10" s="123" t="s">
        <v>201</v>
      </c>
      <c r="E10" s="124" t="s">
        <v>202</v>
      </c>
      <c r="F10" s="253"/>
      <c r="G10" s="253"/>
      <c r="H10" s="125" t="str">
        <f t="shared" si="0"/>
        <v/>
      </c>
      <c r="I10" s="126" t="str">
        <f t="shared" si="1"/>
        <v/>
      </c>
    </row>
    <row r="11" spans="2:9" ht="49.5" customHeight="1" x14ac:dyDescent="0.25">
      <c r="C11" s="122" t="s">
        <v>203</v>
      </c>
      <c r="D11" s="123" t="s">
        <v>204</v>
      </c>
      <c r="E11" s="124" t="s">
        <v>205</v>
      </c>
      <c r="F11" s="253"/>
      <c r="G11" s="253"/>
      <c r="H11" s="125" t="str">
        <f t="shared" si="0"/>
        <v/>
      </c>
      <c r="I11" s="126" t="str">
        <f t="shared" si="1"/>
        <v/>
      </c>
    </row>
    <row r="12" spans="2:9" ht="49.5" customHeight="1" x14ac:dyDescent="0.25">
      <c r="C12" s="122" t="s">
        <v>206</v>
      </c>
      <c r="D12" s="123" t="s">
        <v>207</v>
      </c>
      <c r="E12" s="124" t="s">
        <v>208</v>
      </c>
      <c r="F12" s="253"/>
      <c r="G12" s="253"/>
      <c r="H12" s="125" t="str">
        <f t="shared" si="0"/>
        <v/>
      </c>
      <c r="I12" s="126" t="str">
        <f t="shared" si="1"/>
        <v/>
      </c>
    </row>
    <row r="13" spans="2:9" ht="27.75" customHeight="1" x14ac:dyDescent="0.25">
      <c r="B13" s="242" t="s">
        <v>209</v>
      </c>
      <c r="C13" s="242"/>
      <c r="D13" s="242"/>
      <c r="E13" s="242"/>
      <c r="F13" s="242"/>
      <c r="G13" s="242"/>
      <c r="H13" s="242"/>
      <c r="I13" s="242"/>
    </row>
    <row r="14" spans="2:9" ht="49.5" customHeight="1" x14ac:dyDescent="0.25">
      <c r="C14" s="127" t="s">
        <v>210</v>
      </c>
      <c r="D14" s="123" t="s">
        <v>211</v>
      </c>
      <c r="E14" s="124" t="s">
        <v>212</v>
      </c>
      <c r="F14" s="253"/>
      <c r="G14" s="253"/>
      <c r="H14" s="125" t="str">
        <f>IF(OR(F14="",G14=""),"",VALUE(LEFT(G14,1))-VALUE(LEFT(F14,1)))</f>
        <v/>
      </c>
      <c r="I14" s="126" t="str">
        <f>IF(H14="","",IF(H14&gt;=2,"⚠️ Hoher Handlungsbedarf",IF(H14&gt;=1,"⚡ Handlungsbedarf","✅ OK")))</f>
        <v/>
      </c>
    </row>
    <row r="15" spans="2:9" ht="49.5" customHeight="1" x14ac:dyDescent="0.25">
      <c r="C15" s="127" t="s">
        <v>213</v>
      </c>
      <c r="D15" s="123" t="s">
        <v>214</v>
      </c>
      <c r="E15" s="124" t="s">
        <v>215</v>
      </c>
      <c r="F15" s="253"/>
      <c r="G15" s="253"/>
      <c r="H15" s="125" t="str">
        <f>IF(OR(F15="",G15=""),"",VALUE(LEFT(G15,1))-VALUE(LEFT(F15,1)))</f>
        <v/>
      </c>
      <c r="I15" s="126" t="str">
        <f>IF(H15="","",IF(H15&gt;=2,"⚠️ Hoher Handlungsbedarf",IF(H15&gt;=1,"⚡ Handlungsbedarf","✅ OK")))</f>
        <v/>
      </c>
    </row>
    <row r="16" spans="2:9" ht="49.5" customHeight="1" x14ac:dyDescent="0.25">
      <c r="C16" s="127" t="s">
        <v>216</v>
      </c>
      <c r="D16" s="123" t="s">
        <v>217</v>
      </c>
      <c r="E16" s="124" t="s">
        <v>218</v>
      </c>
      <c r="F16" s="253"/>
      <c r="G16" s="253"/>
      <c r="H16" s="125" t="str">
        <f>IF(OR(F16="",G16=""),"",VALUE(LEFT(G16,1))-VALUE(LEFT(F16,1)))</f>
        <v/>
      </c>
      <c r="I16" s="126" t="str">
        <f>IF(H16="","",IF(H16&gt;=2,"⚠️ Hoher Handlungsbedarf",IF(H16&gt;=1,"⚡ Handlungsbedarf","✅ OK")))</f>
        <v/>
      </c>
    </row>
    <row r="17" spans="2:9" ht="27.75" customHeight="1" x14ac:dyDescent="0.25">
      <c r="B17" s="243" t="s">
        <v>219</v>
      </c>
      <c r="C17" s="243"/>
      <c r="D17" s="243"/>
      <c r="E17" s="243"/>
      <c r="F17" s="243"/>
      <c r="G17" s="243"/>
      <c r="H17" s="243"/>
      <c r="I17" s="243"/>
    </row>
    <row r="18" spans="2:9" ht="49.5" customHeight="1" x14ac:dyDescent="0.25">
      <c r="C18" s="128" t="s">
        <v>220</v>
      </c>
      <c r="D18" s="123" t="s">
        <v>221</v>
      </c>
      <c r="E18" s="124" t="s">
        <v>222</v>
      </c>
      <c r="F18" s="253"/>
      <c r="G18" s="253"/>
      <c r="H18" s="125" t="str">
        <f>IF(OR(F18="",G18=""),"",VALUE(LEFT(G18,1))-VALUE(LEFT(F18,1)))</f>
        <v/>
      </c>
      <c r="I18" s="126" t="str">
        <f>IF(H18="","",IF(H18&gt;=2,"⚠️ Hoher Handlungsbedarf",IF(H18&gt;=1,"⚡ Handlungsbedarf","✅ OK")))</f>
        <v/>
      </c>
    </row>
    <row r="19" spans="2:9" ht="49.5" customHeight="1" x14ac:dyDescent="0.25">
      <c r="C19" s="128" t="s">
        <v>223</v>
      </c>
      <c r="D19" s="123" t="s">
        <v>224</v>
      </c>
      <c r="E19" s="124" t="s">
        <v>225</v>
      </c>
      <c r="F19" s="253"/>
      <c r="G19" s="253"/>
      <c r="H19" s="125" t="str">
        <f>IF(OR(F19="",G19=""),"",VALUE(LEFT(G19,1))-VALUE(LEFT(F19,1)))</f>
        <v/>
      </c>
      <c r="I19" s="126" t="str">
        <f>IF(H19="","",IF(H19&gt;=2,"⚠️ Hoher Handlungsbedarf",IF(H19&gt;=1,"⚡ Handlungsbedarf","✅ OK")))</f>
        <v/>
      </c>
    </row>
    <row r="20" spans="2:9" ht="49.5" customHeight="1" x14ac:dyDescent="0.25">
      <c r="C20" s="128" t="s">
        <v>226</v>
      </c>
      <c r="D20" s="123" t="s">
        <v>227</v>
      </c>
      <c r="E20" s="124" t="s">
        <v>228</v>
      </c>
      <c r="F20" s="253"/>
      <c r="G20" s="253"/>
      <c r="H20" s="125" t="str">
        <f>IF(OR(F20="",G20=""),"",VALUE(LEFT(G20,1))-VALUE(LEFT(F20,1)))</f>
        <v/>
      </c>
      <c r="I20" s="126" t="str">
        <f>IF(H20="","",IF(H20&gt;=2,"⚠️ Hoher Handlungsbedarf",IF(H20&gt;=1,"⚡ Handlungsbedarf","✅ OK")))</f>
        <v/>
      </c>
    </row>
    <row r="21" spans="2:9" ht="49.5" customHeight="1" x14ac:dyDescent="0.25">
      <c r="C21" s="128" t="s">
        <v>229</v>
      </c>
      <c r="D21" s="123" t="s">
        <v>230</v>
      </c>
      <c r="E21" s="124" t="s">
        <v>231</v>
      </c>
      <c r="F21" s="253"/>
      <c r="G21" s="253"/>
      <c r="H21" s="125" t="str">
        <f>IF(OR(F21="",G21=""),"",VALUE(LEFT(G21,1))-VALUE(LEFT(F21,1)))</f>
        <v/>
      </c>
      <c r="I21" s="126" t="str">
        <f>IF(H21="","",IF(H21&gt;=2,"⚠️ Hoher Handlungsbedarf",IF(H21&gt;=1,"⚡ Handlungsbedarf","✅ OK")))</f>
        <v/>
      </c>
    </row>
    <row r="22" spans="2:9" ht="49.5" customHeight="1" x14ac:dyDescent="0.25">
      <c r="C22" s="128" t="s">
        <v>232</v>
      </c>
      <c r="D22" s="123" t="s">
        <v>233</v>
      </c>
      <c r="E22" s="124" t="s">
        <v>234</v>
      </c>
      <c r="F22" s="253"/>
      <c r="G22" s="253"/>
      <c r="H22" s="125" t="str">
        <f>IF(OR(F22="",G22=""),"",VALUE(LEFT(G22,1))-VALUE(LEFT(F22,1)))</f>
        <v/>
      </c>
      <c r="I22" s="126" t="str">
        <f>IF(H22="","",IF(H22&gt;=2,"⚠️ Hoher Handlungsbedarf",IF(H22&gt;=1,"⚡ Handlungsbedarf","✅ OK")))</f>
        <v/>
      </c>
    </row>
    <row r="23" spans="2:9" ht="27.75" customHeight="1" x14ac:dyDescent="0.25">
      <c r="B23" s="236" t="s">
        <v>235</v>
      </c>
      <c r="C23" s="236"/>
      <c r="D23" s="236"/>
      <c r="E23" s="236"/>
      <c r="F23" s="236"/>
      <c r="G23" s="236"/>
      <c r="H23" s="236"/>
      <c r="I23" s="236"/>
    </row>
    <row r="24" spans="2:9" ht="49.5" customHeight="1" x14ac:dyDescent="0.25">
      <c r="C24" s="129" t="s">
        <v>236</v>
      </c>
      <c r="D24" s="123" t="s">
        <v>237</v>
      </c>
      <c r="E24" s="124" t="s">
        <v>238</v>
      </c>
      <c r="F24" s="253"/>
      <c r="G24" s="253"/>
      <c r="H24" s="125" t="str">
        <f>IF(OR(F24="",G24=""),"",VALUE(LEFT(G24,1))-VALUE(LEFT(F24,1)))</f>
        <v/>
      </c>
      <c r="I24" s="126" t="str">
        <f>IF(H24="","",IF(H24&gt;=2,"⚠️ Hoher Handlungsbedarf",IF(H24&gt;=1,"⚡ Handlungsbedarf","✅ OK")))</f>
        <v/>
      </c>
    </row>
    <row r="25" spans="2:9" ht="49.5" customHeight="1" x14ac:dyDescent="0.25">
      <c r="C25" s="129" t="s">
        <v>239</v>
      </c>
      <c r="D25" s="123" t="s">
        <v>240</v>
      </c>
      <c r="E25" s="124" t="s">
        <v>241</v>
      </c>
      <c r="F25" s="253"/>
      <c r="G25" s="253"/>
      <c r="H25" s="125" t="str">
        <f>IF(OR(F25="",G25=""),"",VALUE(LEFT(G25,1))-VALUE(LEFT(F25,1)))</f>
        <v/>
      </c>
      <c r="I25" s="126" t="str">
        <f>IF(H25="","",IF(H25&gt;=2,"⚠️ Hoher Handlungsbedarf",IF(H25&gt;=1,"⚡ Handlungsbedarf","✅ OK")))</f>
        <v/>
      </c>
    </row>
    <row r="26" spans="2:9" ht="27.75" customHeight="1" x14ac:dyDescent="0.25">
      <c r="B26" s="237" t="s">
        <v>242</v>
      </c>
      <c r="C26" s="237"/>
      <c r="D26" s="237"/>
      <c r="E26" s="237"/>
      <c r="F26" s="237"/>
      <c r="G26" s="237"/>
      <c r="H26" s="237"/>
      <c r="I26" s="237"/>
    </row>
    <row r="27" spans="2:9" ht="49.5" customHeight="1" x14ac:dyDescent="0.25">
      <c r="C27" s="130" t="s">
        <v>243</v>
      </c>
      <c r="D27" s="123" t="s">
        <v>244</v>
      </c>
      <c r="E27" s="124" t="s">
        <v>245</v>
      </c>
      <c r="F27" s="253"/>
      <c r="G27" s="253"/>
      <c r="H27" s="125" t="str">
        <f>IF(OR(F27="",G27=""),"",VALUE(LEFT(G27,1))-VALUE(LEFT(F27,1)))</f>
        <v/>
      </c>
      <c r="I27" s="126" t="str">
        <f>IF(H27="","",IF(H27&gt;=2,"⚠️ Hoher Handlungsbedarf",IF(H27&gt;=1,"⚡ Handlungsbedarf","✅ OK")))</f>
        <v/>
      </c>
    </row>
    <row r="28" spans="2:9" ht="49.5" customHeight="1" x14ac:dyDescent="0.25">
      <c r="C28" s="130" t="s">
        <v>246</v>
      </c>
      <c r="D28" s="123" t="s">
        <v>247</v>
      </c>
      <c r="E28" s="124" t="s">
        <v>248</v>
      </c>
      <c r="F28" s="253"/>
      <c r="G28" s="253"/>
      <c r="H28" s="125" t="str">
        <f>IF(OR(F28="",G28=""),"",VALUE(LEFT(G28,1))-VALUE(LEFT(F28,1)))</f>
        <v/>
      </c>
      <c r="I28" s="126" t="str">
        <f>IF(H28="","",IF(H28&gt;=2,"⚠️ Hoher Handlungsbedarf",IF(H28&gt;=1,"⚡ Handlungsbedarf","✅ OK")))</f>
        <v/>
      </c>
    </row>
    <row r="29" spans="2:9" ht="49.5" customHeight="1" x14ac:dyDescent="0.25">
      <c r="C29" s="130" t="s">
        <v>249</v>
      </c>
      <c r="D29" s="123" t="s">
        <v>250</v>
      </c>
      <c r="E29" s="124" t="s">
        <v>251</v>
      </c>
      <c r="F29" s="253"/>
      <c r="G29" s="253"/>
      <c r="H29" s="125" t="str">
        <f>IF(OR(F29="",G29=""),"",VALUE(LEFT(G29,1))-VALUE(LEFT(F29,1)))</f>
        <v/>
      </c>
      <c r="I29" s="126" t="str">
        <f>IF(H29="","",IF(H29&gt;=2,"⚠️ Hoher Handlungsbedarf",IF(H29&gt;=1,"⚡ Handlungsbedarf","✅ OK")))</f>
        <v/>
      </c>
    </row>
    <row r="30" spans="2:9" ht="49.5" customHeight="1" x14ac:dyDescent="0.25">
      <c r="C30" s="130" t="s">
        <v>252</v>
      </c>
      <c r="D30" s="123" t="s">
        <v>253</v>
      </c>
      <c r="E30" s="124" t="s">
        <v>254</v>
      </c>
      <c r="F30" s="253"/>
      <c r="G30" s="253"/>
      <c r="H30" s="125" t="str">
        <f>IF(OR(F30="",G30=""),"",VALUE(LEFT(G30,1))-VALUE(LEFT(F30,1)))</f>
        <v/>
      </c>
      <c r="I30" s="126" t="str">
        <f>IF(H30="","",IF(H30&gt;=2,"⚠️ Hoher Handlungsbedarf",IF(H30&gt;=1,"⚡ Handlungsbedarf","✅ OK")))</f>
        <v/>
      </c>
    </row>
    <row r="31" spans="2:9" ht="27.75" customHeight="1" x14ac:dyDescent="0.25">
      <c r="B31" s="238" t="s">
        <v>255</v>
      </c>
      <c r="C31" s="238"/>
      <c r="D31" s="238"/>
      <c r="E31" s="238"/>
      <c r="F31" s="238"/>
      <c r="G31" s="238"/>
      <c r="H31" s="238"/>
      <c r="I31" s="238"/>
    </row>
    <row r="32" spans="2:9" ht="49.5" customHeight="1" x14ac:dyDescent="0.25">
      <c r="C32" s="131" t="s">
        <v>256</v>
      </c>
      <c r="D32" s="123" t="s">
        <v>257</v>
      </c>
      <c r="E32" s="124" t="s">
        <v>258</v>
      </c>
      <c r="F32" s="253"/>
      <c r="G32" s="253"/>
      <c r="H32" s="125" t="str">
        <f>IF(OR(F32="",G32=""),"",VALUE(LEFT(G32,1))-VALUE(LEFT(F32,1)))</f>
        <v/>
      </c>
      <c r="I32" s="126" t="str">
        <f>IF(H32="","",IF(H32&gt;=2,"⚠️ Hoher Handlungsbedarf",IF(H32&gt;=1,"⚡ Handlungsbedarf","✅ OK")))</f>
        <v/>
      </c>
    </row>
    <row r="33" spans="2:9" ht="49.5" customHeight="1" x14ac:dyDescent="0.25">
      <c r="C33" s="131" t="s">
        <v>259</v>
      </c>
      <c r="D33" s="123" t="s">
        <v>260</v>
      </c>
      <c r="E33" s="124" t="s">
        <v>261</v>
      </c>
      <c r="F33" s="253"/>
      <c r="G33" s="253"/>
      <c r="H33" s="125" t="str">
        <f>IF(OR(F33="",G33=""),"",VALUE(LEFT(G33,1))-VALUE(LEFT(F33,1)))</f>
        <v/>
      </c>
      <c r="I33" s="126" t="str">
        <f>IF(H33="","",IF(H33&gt;=2,"⚠️ Hoher Handlungsbedarf",IF(H33&gt;=1,"⚡ Handlungsbedarf","✅ OK")))</f>
        <v/>
      </c>
    </row>
    <row r="36" spans="2:9" ht="15" customHeight="1" x14ac:dyDescent="0.25">
      <c r="B36" s="132" t="s">
        <v>262</v>
      </c>
    </row>
    <row r="37" spans="2:9" ht="15" customHeight="1" x14ac:dyDescent="0.25">
      <c r="B37" s="133" t="s">
        <v>263</v>
      </c>
      <c r="C37" s="133" t="s">
        <v>264</v>
      </c>
      <c r="D37" s="133" t="s">
        <v>265</v>
      </c>
    </row>
    <row r="38" spans="2:9" ht="15" customHeight="1" x14ac:dyDescent="0.25">
      <c r="B38" s="134" t="s">
        <v>266</v>
      </c>
      <c r="C38" s="135" t="s">
        <v>267</v>
      </c>
      <c r="D38" s="136" t="s">
        <v>268</v>
      </c>
    </row>
    <row r="39" spans="2:9" ht="15" customHeight="1" x14ac:dyDescent="0.25">
      <c r="B39" s="137" t="s">
        <v>269</v>
      </c>
      <c r="C39" s="135" t="s">
        <v>270</v>
      </c>
      <c r="D39" s="136" t="s">
        <v>271</v>
      </c>
    </row>
    <row r="40" spans="2:9" ht="23.25" customHeight="1" x14ac:dyDescent="0.25">
      <c r="B40" s="138" t="s">
        <v>272</v>
      </c>
      <c r="C40" s="135" t="s">
        <v>273</v>
      </c>
      <c r="D40" s="136" t="s">
        <v>274</v>
      </c>
    </row>
    <row r="41" spans="2:9" ht="15" customHeight="1" x14ac:dyDescent="0.25">
      <c r="B41" s="139" t="s">
        <v>275</v>
      </c>
      <c r="C41" s="135" t="s">
        <v>276</v>
      </c>
      <c r="D41" s="136" t="s">
        <v>277</v>
      </c>
    </row>
    <row r="42" spans="2:9" ht="15" customHeight="1" x14ac:dyDescent="0.25">
      <c r="B42" s="140" t="s">
        <v>278</v>
      </c>
      <c r="C42" s="135" t="s">
        <v>279</v>
      </c>
      <c r="D42" s="136" t="s">
        <v>280</v>
      </c>
    </row>
    <row r="44" spans="2:9" ht="15" customHeight="1" x14ac:dyDescent="0.25">
      <c r="B44" s="141" t="s">
        <v>281</v>
      </c>
    </row>
  </sheetData>
  <sheetProtection sheet="1" objects="1" scenarios="1"/>
  <mergeCells count="8">
    <mergeCell ref="B23:I23"/>
    <mergeCell ref="B26:I26"/>
    <mergeCell ref="B31:I31"/>
    <mergeCell ref="B2:H2"/>
    <mergeCell ref="B3:H3"/>
    <mergeCell ref="B6:I6"/>
    <mergeCell ref="B13:I13"/>
    <mergeCell ref="B17:I17"/>
  </mergeCells>
  <conditionalFormatting sqref="H7:H33">
    <cfRule type="cellIs" dxfId="13" priority="2" operator="greaterThanOrEqual">
      <formula>2</formula>
    </cfRule>
    <cfRule type="cellIs" dxfId="12" priority="3" operator="equal">
      <formula>1</formula>
    </cfRule>
    <cfRule type="cellIs" dxfId="11" priority="4" operator="lessThanOrEqual">
      <formula>0</formula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Ungültige Eingabe" error="Bitte wählen Sie einen Wert von 0 bis 4 aus der Dropdown-Liste." xr:uid="{00000000-0002-0000-0400-000000000000}">
          <x14:formula1>
            <xm:f>Hilfsmittel!$A$2:$A$6</xm:f>
          </x14:formula1>
          <x14:formula2>
            <xm:f>0</xm:f>
          </x14:formula2>
          <xm:sqref>F7:G12 F14:G16 F18:G22 F24:G25 F27:G30 F32:G33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AD47"/>
  </sheetPr>
  <dimension ref="B2:G54"/>
  <sheetViews>
    <sheetView showGridLines="0" zoomScaleNormal="100" workbookViewId="0">
      <selection activeCell="B65" sqref="B65"/>
    </sheetView>
  </sheetViews>
  <sheetFormatPr baseColWidth="10" defaultColWidth="8.7109375" defaultRowHeight="15" x14ac:dyDescent="0.25"/>
  <cols>
    <col min="1" max="1" width="3" customWidth="1"/>
    <col min="2" max="2" width="30" customWidth="1"/>
    <col min="3" max="6" width="18" customWidth="1"/>
    <col min="7" max="7" width="30" customWidth="1"/>
    <col min="8" max="8" width="3" customWidth="1"/>
  </cols>
  <sheetData>
    <row r="2" spans="2:7" ht="19.5" customHeight="1" x14ac:dyDescent="0.35">
      <c r="B2" s="239" t="s">
        <v>282</v>
      </c>
      <c r="C2" s="239"/>
      <c r="D2" s="239"/>
      <c r="E2" s="239"/>
      <c r="F2" s="239"/>
      <c r="G2" s="239"/>
    </row>
    <row r="4" spans="2:7" ht="15" customHeight="1" x14ac:dyDescent="0.25">
      <c r="B4" s="244" t="s">
        <v>283</v>
      </c>
      <c r="C4" s="244"/>
      <c r="D4" s="244"/>
      <c r="E4" s="244"/>
      <c r="F4" s="244"/>
      <c r="G4" s="244"/>
    </row>
    <row r="5" spans="2:7" ht="15" customHeight="1" x14ac:dyDescent="0.25">
      <c r="B5" s="1" t="s">
        <v>87</v>
      </c>
      <c r="C5" s="1" t="s">
        <v>284</v>
      </c>
      <c r="D5" s="1" t="s">
        <v>285</v>
      </c>
      <c r="E5" s="1" t="s">
        <v>286</v>
      </c>
      <c r="F5" s="1" t="s">
        <v>287</v>
      </c>
      <c r="G5" s="1" t="s">
        <v>288</v>
      </c>
    </row>
    <row r="6" spans="2:7" ht="15" customHeight="1" x14ac:dyDescent="0.25">
      <c r="B6" s="7" t="s">
        <v>289</v>
      </c>
      <c r="C6" s="142">
        <f>(IF(Bewertung!F7="",0,VALUE(LEFT(Bewertung!F7,1)))+IF(Bewertung!F8="",0,VALUE(LEFT(Bewertung!F8,1)))+IF(Bewertung!F9="",0,VALUE(LEFT(Bewertung!F9,1)))+IF(Bewertung!F10="",0,VALUE(LEFT(Bewertung!F10,1)))+IF(Bewertung!F11="",0,VALUE(LEFT(Bewertung!F11,1)))+IF(Bewertung!F12="",0,VALUE(LEFT(Bewertung!F12,1))))/6</f>
        <v>0</v>
      </c>
      <c r="D6" s="142">
        <f>(IF(Bewertung!G7="",0,VALUE(LEFT(Bewertung!G7,1)))+IF(Bewertung!G8="",0,VALUE(LEFT(Bewertung!G8,1)))+IF(Bewertung!G9="",0,VALUE(LEFT(Bewertung!G9,1)))+IF(Bewertung!G10="",0,VALUE(LEFT(Bewertung!G10,1)))+IF(Bewertung!G11="",0,VALUE(LEFT(Bewertung!G11,1)))+IF(Bewertung!G12="",0,VALUE(LEFT(Bewertung!G12,1))))/6</f>
        <v>0</v>
      </c>
      <c r="E6" s="142">
        <f t="shared" ref="E6:E12" si="0">D6-C6</f>
        <v>0</v>
      </c>
      <c r="F6" s="143">
        <f>MAX(IF(Bewertung!H7="",0,Bewertung!H7),IF(Bewertung!H8="",0,Bewertung!H8),IF(Bewertung!H9="",0,Bewertung!H9),IF(Bewertung!H10="",0,Bewertung!H10),IF(Bewertung!H11="",0,Bewertung!H11),IF(Bewertung!H12="",0,Bewertung!H12))</f>
        <v>0</v>
      </c>
      <c r="G6" s="125" t="str">
        <f t="shared" ref="G6:G11" si="1">IF(E6&gt;=2,"🔴 Kritisch",IF(E6&gt;=1,"🟡 Verbesserung nötig","🟢 Gut"))</f>
        <v>🟢 Gut</v>
      </c>
    </row>
    <row r="7" spans="2:7" ht="15" customHeight="1" x14ac:dyDescent="0.25">
      <c r="B7" s="144" t="s">
        <v>290</v>
      </c>
      <c r="C7" s="142">
        <f>(IF(Bewertung!F14="",0,VALUE(LEFT(Bewertung!F14,1)))+IF(Bewertung!F15="",0,VALUE(LEFT(Bewertung!F15,1)))+IF(Bewertung!F16="",0,VALUE(LEFT(Bewertung!F16,1))))/3</f>
        <v>0</v>
      </c>
      <c r="D7" s="142">
        <f>(IF(Bewertung!G14="",0,VALUE(LEFT(Bewertung!G14,1)))+IF(Bewertung!G15="",0,VALUE(LEFT(Bewertung!G15,1)))+IF(Bewertung!G16="",0,VALUE(LEFT(Bewertung!G16,1))))/3</f>
        <v>0</v>
      </c>
      <c r="E7" s="142">
        <f t="shared" si="0"/>
        <v>0</v>
      </c>
      <c r="F7" s="143">
        <f>MAX(IF(Bewertung!H14="",0,Bewertung!H14),IF(Bewertung!H15="",0,Bewertung!H15),IF(Bewertung!H16="",0,Bewertung!H16))</f>
        <v>0</v>
      </c>
      <c r="G7" s="125" t="str">
        <f t="shared" si="1"/>
        <v>🟢 Gut</v>
      </c>
    </row>
    <row r="8" spans="2:7" ht="15" customHeight="1" x14ac:dyDescent="0.25">
      <c r="B8" s="145" t="s">
        <v>291</v>
      </c>
      <c r="C8" s="142">
        <f>(IF(Bewertung!F18="",0,VALUE(LEFT(Bewertung!F18,1)))+IF(Bewertung!F19="",0,VALUE(LEFT(Bewertung!F19,1)))+IF(Bewertung!F20="",0,VALUE(LEFT(Bewertung!F20,1)))+IF(Bewertung!F21="",0,VALUE(LEFT(Bewertung!F21,1)))+IF(Bewertung!F22="",0,VALUE(LEFT(Bewertung!F22,1))))/5</f>
        <v>0</v>
      </c>
      <c r="D8" s="142">
        <f>(IF(Bewertung!G18="",0,VALUE(LEFT(Bewertung!G18,1)))+IF(Bewertung!G19="",0,VALUE(LEFT(Bewertung!G19,1)))+IF(Bewertung!G20="",0,VALUE(LEFT(Bewertung!G20,1)))+IF(Bewertung!G21="",0,VALUE(LEFT(Bewertung!G21,1)))+IF(Bewertung!G22="",0,VALUE(LEFT(Bewertung!G22,1))))/5</f>
        <v>0</v>
      </c>
      <c r="E8" s="142">
        <f t="shared" si="0"/>
        <v>0</v>
      </c>
      <c r="F8" s="143">
        <f>MAX(IF(Bewertung!H18="",0,Bewertung!H18),IF(Bewertung!H19="",0,Bewertung!H19),IF(Bewertung!H20="",0,Bewertung!H20),IF(Bewertung!H21="",0,Bewertung!H21),IF(Bewertung!H22="",0,Bewertung!H22))</f>
        <v>0</v>
      </c>
      <c r="G8" s="125" t="str">
        <f t="shared" si="1"/>
        <v>🟢 Gut</v>
      </c>
    </row>
    <row r="9" spans="2:7" ht="15" customHeight="1" x14ac:dyDescent="0.25">
      <c r="B9" s="146" t="s">
        <v>292</v>
      </c>
      <c r="C9" s="142">
        <f>(IF(Bewertung!F24="",0,VALUE(LEFT(Bewertung!F24,1)))+IF(Bewertung!F25="",0,VALUE(LEFT(Bewertung!F25,1))))/2</f>
        <v>0</v>
      </c>
      <c r="D9" s="142">
        <f>(IF(Bewertung!G24="",0,VALUE(LEFT(Bewertung!G24,1)))+IF(Bewertung!G25="",0,VALUE(LEFT(Bewertung!G25,1))))/2</f>
        <v>0</v>
      </c>
      <c r="E9" s="142">
        <f t="shared" si="0"/>
        <v>0</v>
      </c>
      <c r="F9" s="143">
        <f>MAX(IF(Bewertung!H24="",0,Bewertung!H24),IF(Bewertung!H25="",0,Bewertung!H25))</f>
        <v>0</v>
      </c>
      <c r="G9" s="125" t="str">
        <f t="shared" si="1"/>
        <v>🟢 Gut</v>
      </c>
    </row>
    <row r="10" spans="2:7" ht="15" customHeight="1" x14ac:dyDescent="0.25">
      <c r="B10" s="147" t="s">
        <v>293</v>
      </c>
      <c r="C10" s="142">
        <f>(IF(Bewertung!F27="",0,VALUE(LEFT(Bewertung!F27,1)))+IF(Bewertung!F28="",0,VALUE(LEFT(Bewertung!F28,1)))+IF(Bewertung!F29="",0,VALUE(LEFT(Bewertung!F29,1)))+IF(Bewertung!F30="",0,VALUE(LEFT(Bewertung!F30,1))))/4</f>
        <v>0</v>
      </c>
      <c r="D10" s="142">
        <f>(IF(Bewertung!G27="",0,VALUE(LEFT(Bewertung!G27,1)))+IF(Bewertung!G28="",0,VALUE(LEFT(Bewertung!G28,1)))+IF(Bewertung!G29="",0,VALUE(LEFT(Bewertung!G29,1)))+IF(Bewertung!G30="",0,VALUE(LEFT(Bewertung!G30,1))))/4</f>
        <v>0</v>
      </c>
      <c r="E10" s="142">
        <f t="shared" si="0"/>
        <v>0</v>
      </c>
      <c r="F10" s="143">
        <f>MAX(IF(Bewertung!H27="",0,Bewertung!H27),IF(Bewertung!H28="",0,Bewertung!H28),IF(Bewertung!H29="",0,Bewertung!H29),IF(Bewertung!H30="",0,Bewertung!H30))</f>
        <v>0</v>
      </c>
      <c r="G10" s="125" t="str">
        <f t="shared" si="1"/>
        <v>🟢 Gut</v>
      </c>
    </row>
    <row r="11" spans="2:7" ht="15" customHeight="1" x14ac:dyDescent="0.25">
      <c r="B11" s="148" t="s">
        <v>294</v>
      </c>
      <c r="C11" s="142">
        <f>(IF(Bewertung!F32="",0,VALUE(LEFT(Bewertung!F32,1)))+IF(Bewertung!F33="",0,VALUE(LEFT(Bewertung!F33,1))))/2</f>
        <v>0</v>
      </c>
      <c r="D11" s="142">
        <f>(IF(Bewertung!G32="",0,VALUE(LEFT(Bewertung!G32,1)))+IF(Bewertung!G33="",0,VALUE(LEFT(Bewertung!G33,1))))/2</f>
        <v>0</v>
      </c>
      <c r="E11" s="142">
        <f t="shared" si="0"/>
        <v>0</v>
      </c>
      <c r="F11" s="143">
        <f>MAX(IF(Bewertung!H32="",0,Bewertung!H32),IF(Bewertung!H33="",0,Bewertung!H33))</f>
        <v>0</v>
      </c>
      <c r="G11" s="125" t="str">
        <f t="shared" si="1"/>
        <v>🟢 Gut</v>
      </c>
    </row>
    <row r="12" spans="2:7" ht="15" customHeight="1" x14ac:dyDescent="0.25">
      <c r="B12" s="149" t="s">
        <v>100</v>
      </c>
      <c r="C12" s="150">
        <f>AVERAGE(C6:C11)</f>
        <v>0</v>
      </c>
      <c r="D12" s="150">
        <f>AVERAGE(D6:D11)</f>
        <v>0</v>
      </c>
      <c r="E12" s="151">
        <f t="shared" si="0"/>
        <v>0</v>
      </c>
      <c r="F12" s="152"/>
      <c r="G12" s="152"/>
    </row>
    <row r="14" spans="2:7" ht="15" customHeight="1" x14ac:dyDescent="0.25">
      <c r="B14" s="4" t="s">
        <v>295</v>
      </c>
    </row>
    <row r="15" spans="2:7" ht="15" customHeight="1" x14ac:dyDescent="0.25">
      <c r="B15" s="14" t="s">
        <v>87</v>
      </c>
      <c r="C15" s="14" t="s">
        <v>101</v>
      </c>
      <c r="D15" s="14" t="s">
        <v>102</v>
      </c>
    </row>
    <row r="16" spans="2:7" ht="15" customHeight="1" x14ac:dyDescent="0.25">
      <c r="B16" s="14" t="s">
        <v>104</v>
      </c>
      <c r="C16" s="153">
        <f t="shared" ref="C16:D21" si="2">C6</f>
        <v>0</v>
      </c>
      <c r="D16" s="153">
        <f t="shared" si="2"/>
        <v>0</v>
      </c>
    </row>
    <row r="17" spans="2:4" ht="15" customHeight="1" x14ac:dyDescent="0.25">
      <c r="B17" s="14" t="s">
        <v>105</v>
      </c>
      <c r="C17" s="153">
        <f t="shared" si="2"/>
        <v>0</v>
      </c>
      <c r="D17" s="153">
        <f t="shared" si="2"/>
        <v>0</v>
      </c>
    </row>
    <row r="18" spans="2:4" ht="15" customHeight="1" x14ac:dyDescent="0.25">
      <c r="B18" s="14" t="s">
        <v>106</v>
      </c>
      <c r="C18" s="153">
        <f t="shared" si="2"/>
        <v>0</v>
      </c>
      <c r="D18" s="153">
        <f t="shared" si="2"/>
        <v>0</v>
      </c>
    </row>
    <row r="19" spans="2:4" ht="15" customHeight="1" x14ac:dyDescent="0.25">
      <c r="B19" s="14" t="s">
        <v>107</v>
      </c>
      <c r="C19" s="153">
        <f t="shared" si="2"/>
        <v>0</v>
      </c>
      <c r="D19" s="153">
        <f t="shared" si="2"/>
        <v>0</v>
      </c>
    </row>
    <row r="20" spans="2:4" ht="15" customHeight="1" x14ac:dyDescent="0.25">
      <c r="B20" s="14" t="s">
        <v>108</v>
      </c>
      <c r="C20" s="153">
        <f t="shared" si="2"/>
        <v>0</v>
      </c>
      <c r="D20" s="153">
        <f t="shared" si="2"/>
        <v>0</v>
      </c>
    </row>
    <row r="21" spans="2:4" ht="15" customHeight="1" x14ac:dyDescent="0.25">
      <c r="B21" s="14" t="s">
        <v>109</v>
      </c>
      <c r="C21" s="153">
        <f t="shared" si="2"/>
        <v>0</v>
      </c>
      <c r="D21" s="153">
        <f t="shared" si="2"/>
        <v>0</v>
      </c>
    </row>
    <row r="47" spans="2:3" ht="15" customHeight="1" x14ac:dyDescent="0.25">
      <c r="B47" s="4" t="s">
        <v>296</v>
      </c>
    </row>
    <row r="48" spans="2:3" ht="15" customHeight="1" x14ac:dyDescent="0.25">
      <c r="B48" s="14" t="s">
        <v>87</v>
      </c>
      <c r="C48" s="14" t="s">
        <v>103</v>
      </c>
    </row>
    <row r="49" spans="2:3" ht="15" customHeight="1" x14ac:dyDescent="0.25">
      <c r="B49" s="14" t="s">
        <v>104</v>
      </c>
      <c r="C49" s="153">
        <f t="shared" ref="C49:C54" si="3">E6</f>
        <v>0</v>
      </c>
    </row>
    <row r="50" spans="2:3" ht="15" customHeight="1" x14ac:dyDescent="0.25">
      <c r="B50" s="14" t="s">
        <v>105</v>
      </c>
      <c r="C50" s="153">
        <f t="shared" si="3"/>
        <v>0</v>
      </c>
    </row>
    <row r="51" spans="2:3" ht="15" customHeight="1" x14ac:dyDescent="0.25">
      <c r="B51" s="14" t="s">
        <v>106</v>
      </c>
      <c r="C51" s="153">
        <f t="shared" si="3"/>
        <v>0</v>
      </c>
    </row>
    <row r="52" spans="2:3" ht="15" customHeight="1" x14ac:dyDescent="0.25">
      <c r="B52" s="14" t="s">
        <v>107</v>
      </c>
      <c r="C52" s="153">
        <f t="shared" si="3"/>
        <v>0</v>
      </c>
    </row>
    <row r="53" spans="2:3" ht="15" customHeight="1" x14ac:dyDescent="0.25">
      <c r="B53" s="14" t="s">
        <v>108</v>
      </c>
      <c r="C53" s="153">
        <f t="shared" si="3"/>
        <v>0</v>
      </c>
    </row>
    <row r="54" spans="2:3" ht="15" customHeight="1" x14ac:dyDescent="0.25">
      <c r="B54" s="14" t="s">
        <v>109</v>
      </c>
      <c r="C54" s="153">
        <f t="shared" si="3"/>
        <v>0</v>
      </c>
    </row>
  </sheetData>
  <mergeCells count="2">
    <mergeCell ref="B2:G2"/>
    <mergeCell ref="B4:G4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D7D31"/>
  </sheetPr>
  <dimension ref="A2:G59"/>
  <sheetViews>
    <sheetView showGridLines="0" zoomScaleNormal="100" workbookViewId="0">
      <selection activeCell="C7" sqref="C7"/>
    </sheetView>
  </sheetViews>
  <sheetFormatPr baseColWidth="10" defaultColWidth="8.7109375" defaultRowHeight="15" x14ac:dyDescent="0.25"/>
  <cols>
    <col min="1" max="1" width="3" customWidth="1"/>
    <col min="2" max="2" width="50" customWidth="1"/>
    <col min="3" max="3" width="16" customWidth="1"/>
    <col min="4" max="4" width="38" customWidth="1"/>
    <col min="5" max="5" width="18.140625" customWidth="1"/>
    <col min="6" max="6" width="40" customWidth="1"/>
    <col min="7" max="7" width="25" customWidth="1"/>
    <col min="8" max="8" width="3" customWidth="1"/>
  </cols>
  <sheetData>
    <row r="2" spans="2:7" ht="19.5" customHeight="1" x14ac:dyDescent="0.35">
      <c r="B2" s="239" t="s">
        <v>297</v>
      </c>
      <c r="C2" s="239"/>
      <c r="D2" s="239"/>
      <c r="E2" s="239"/>
      <c r="F2" s="239"/>
      <c r="G2" s="239"/>
    </row>
    <row r="3" spans="2:7" ht="15" customHeight="1" x14ac:dyDescent="0.25">
      <c r="B3" s="154" t="s">
        <v>298</v>
      </c>
    </row>
    <row r="4" spans="2:7" ht="42.75" customHeight="1" x14ac:dyDescent="0.25">
      <c r="B4" s="155" t="s">
        <v>299</v>
      </c>
    </row>
    <row r="5" spans="2:7" ht="15" customHeight="1" x14ac:dyDescent="0.25">
      <c r="B5" s="245" t="s">
        <v>300</v>
      </c>
      <c r="C5" s="245"/>
      <c r="D5" s="245"/>
      <c r="E5" s="245"/>
      <c r="F5" s="245"/>
      <c r="G5" s="245"/>
    </row>
    <row r="6" spans="2:7" ht="15" customHeight="1" x14ac:dyDescent="0.25">
      <c r="B6" s="1" t="s">
        <v>301</v>
      </c>
      <c r="C6" s="1" t="s">
        <v>302</v>
      </c>
      <c r="D6" s="1" t="s">
        <v>303</v>
      </c>
      <c r="E6" s="1" t="s">
        <v>304</v>
      </c>
      <c r="F6" s="1" t="s">
        <v>55</v>
      </c>
    </row>
    <row r="7" spans="2:7" ht="30" customHeight="1" x14ac:dyDescent="0.25">
      <c r="B7" s="6" t="s">
        <v>305</v>
      </c>
      <c r="C7" s="250"/>
      <c r="D7" s="250">
        <v>2</v>
      </c>
      <c r="E7" s="125">
        <f t="shared" ref="E7:E15" si="0">C7*D7</f>
        <v>0</v>
      </c>
      <c r="F7" s="26" t="s">
        <v>306</v>
      </c>
    </row>
    <row r="8" spans="2:7" ht="30" customHeight="1" x14ac:dyDescent="0.25">
      <c r="B8" s="6" t="s">
        <v>307</v>
      </c>
      <c r="C8" s="250"/>
      <c r="D8" s="250">
        <v>2</v>
      </c>
      <c r="E8" s="125">
        <f t="shared" si="0"/>
        <v>0</v>
      </c>
      <c r="F8" s="26" t="s">
        <v>308</v>
      </c>
    </row>
    <row r="9" spans="2:7" ht="30" customHeight="1" x14ac:dyDescent="0.25">
      <c r="B9" s="6" t="s">
        <v>309</v>
      </c>
      <c r="C9" s="250"/>
      <c r="D9" s="250">
        <v>3</v>
      </c>
      <c r="E9" s="125">
        <f t="shared" si="0"/>
        <v>0</v>
      </c>
      <c r="F9" s="26" t="s">
        <v>310</v>
      </c>
    </row>
    <row r="10" spans="2:7" ht="30" customHeight="1" x14ac:dyDescent="0.25">
      <c r="B10" s="6" t="s">
        <v>311</v>
      </c>
      <c r="C10" s="250"/>
      <c r="D10" s="250">
        <v>2</v>
      </c>
      <c r="E10" s="125">
        <f t="shared" si="0"/>
        <v>0</v>
      </c>
      <c r="F10" s="26" t="s">
        <v>312</v>
      </c>
    </row>
    <row r="11" spans="2:7" ht="30" customHeight="1" x14ac:dyDescent="0.25">
      <c r="B11" s="6" t="s">
        <v>313</v>
      </c>
      <c r="C11" s="250"/>
      <c r="D11" s="250">
        <v>4</v>
      </c>
      <c r="E11" s="125">
        <f t="shared" si="0"/>
        <v>0</v>
      </c>
      <c r="F11" s="26" t="s">
        <v>314</v>
      </c>
    </row>
    <row r="12" spans="2:7" ht="30" customHeight="1" x14ac:dyDescent="0.25">
      <c r="B12" s="6" t="s">
        <v>315</v>
      </c>
      <c r="C12" s="250"/>
      <c r="D12" s="250">
        <v>4</v>
      </c>
      <c r="E12" s="125">
        <f t="shared" si="0"/>
        <v>0</v>
      </c>
      <c r="F12" s="26" t="s">
        <v>316</v>
      </c>
    </row>
    <row r="13" spans="2:7" ht="30" customHeight="1" x14ac:dyDescent="0.25">
      <c r="B13" s="6" t="s">
        <v>317</v>
      </c>
      <c r="C13" s="250"/>
      <c r="D13" s="250">
        <v>3</v>
      </c>
      <c r="E13" s="125">
        <f t="shared" si="0"/>
        <v>0</v>
      </c>
      <c r="F13" s="26" t="s">
        <v>318</v>
      </c>
    </row>
    <row r="14" spans="2:7" ht="30" customHeight="1" x14ac:dyDescent="0.25">
      <c r="B14" s="6" t="s">
        <v>319</v>
      </c>
      <c r="C14" s="250"/>
      <c r="D14" s="250">
        <v>2</v>
      </c>
      <c r="E14" s="125">
        <f t="shared" si="0"/>
        <v>0</v>
      </c>
      <c r="F14" s="26" t="s">
        <v>320</v>
      </c>
    </row>
    <row r="15" spans="2:7" ht="30" customHeight="1" x14ac:dyDescent="0.25">
      <c r="B15" s="6" t="s">
        <v>321</v>
      </c>
      <c r="C15" s="250"/>
      <c r="D15" s="250">
        <v>4</v>
      </c>
      <c r="E15" s="125">
        <f t="shared" si="0"/>
        <v>0</v>
      </c>
      <c r="F15" s="26" t="s">
        <v>322</v>
      </c>
    </row>
    <row r="16" spans="2:7" ht="15" customHeight="1" x14ac:dyDescent="0.25">
      <c r="B16" s="156" t="s">
        <v>323</v>
      </c>
      <c r="E16" s="157">
        <f>IF((D7*10+D8*10+D9*10+D10*10+D11*10+D12*10+D13*10+D14*10+D15*10)=0,0,SUM(E7:E15)/(D7*10+D8*10+D9*10+D10*10+D11*10+D12*10+D13*10+D14*10+D15*10))</f>
        <v>0</v>
      </c>
    </row>
    <row r="19" spans="2:7" ht="15" customHeight="1" x14ac:dyDescent="0.25">
      <c r="B19" s="222" t="s">
        <v>324</v>
      </c>
      <c r="C19" s="222"/>
      <c r="D19" s="222"/>
      <c r="E19" s="222"/>
      <c r="F19" s="222"/>
      <c r="G19" s="222"/>
    </row>
    <row r="20" spans="2:7" ht="26.25" customHeight="1" x14ac:dyDescent="0.25">
      <c r="B20" s="1" t="s">
        <v>325</v>
      </c>
      <c r="C20" s="1" t="s">
        <v>326</v>
      </c>
      <c r="D20" s="1" t="s">
        <v>303</v>
      </c>
      <c r="E20" s="1" t="s">
        <v>304</v>
      </c>
      <c r="F20" s="1" t="s">
        <v>55</v>
      </c>
    </row>
    <row r="21" spans="2:7" ht="30" customHeight="1" x14ac:dyDescent="0.25">
      <c r="B21" s="6" t="s">
        <v>327</v>
      </c>
      <c r="C21" s="250"/>
      <c r="D21" s="250">
        <v>4</v>
      </c>
      <c r="E21" s="125">
        <f t="shared" ref="E21:E28" si="1">C21*D21</f>
        <v>0</v>
      </c>
      <c r="F21" s="26" t="s">
        <v>328</v>
      </c>
    </row>
    <row r="22" spans="2:7" ht="30" customHeight="1" x14ac:dyDescent="0.25">
      <c r="B22" s="6" t="s">
        <v>329</v>
      </c>
      <c r="C22" s="250"/>
      <c r="D22" s="250">
        <v>4</v>
      </c>
      <c r="E22" s="125">
        <f t="shared" si="1"/>
        <v>0</v>
      </c>
      <c r="F22" s="26" t="s">
        <v>328</v>
      </c>
    </row>
    <row r="23" spans="2:7" ht="30" customHeight="1" x14ac:dyDescent="0.25">
      <c r="B23" s="6" t="s">
        <v>330</v>
      </c>
      <c r="C23" s="250"/>
      <c r="D23" s="250">
        <v>2</v>
      </c>
      <c r="E23" s="125">
        <f t="shared" si="1"/>
        <v>0</v>
      </c>
      <c r="F23" s="26" t="s">
        <v>328</v>
      </c>
    </row>
    <row r="24" spans="2:7" ht="30" customHeight="1" x14ac:dyDescent="0.25">
      <c r="B24" s="6" t="s">
        <v>331</v>
      </c>
      <c r="C24" s="250"/>
      <c r="D24" s="250">
        <v>3</v>
      </c>
      <c r="E24" s="125">
        <f t="shared" si="1"/>
        <v>0</v>
      </c>
      <c r="F24" s="26" t="s">
        <v>328</v>
      </c>
    </row>
    <row r="25" spans="2:7" ht="30" customHeight="1" x14ac:dyDescent="0.25">
      <c r="B25" s="6" t="s">
        <v>332</v>
      </c>
      <c r="C25" s="250"/>
      <c r="D25" s="250">
        <v>2</v>
      </c>
      <c r="E25" s="125">
        <f t="shared" si="1"/>
        <v>0</v>
      </c>
      <c r="F25" s="26" t="s">
        <v>328</v>
      </c>
    </row>
    <row r="26" spans="2:7" ht="30" customHeight="1" x14ac:dyDescent="0.25">
      <c r="B26" s="6" t="s">
        <v>333</v>
      </c>
      <c r="C26" s="250"/>
      <c r="D26" s="250">
        <v>3</v>
      </c>
      <c r="E26" s="125">
        <f t="shared" si="1"/>
        <v>0</v>
      </c>
      <c r="F26" s="26" t="s">
        <v>328</v>
      </c>
    </row>
    <row r="27" spans="2:7" ht="30" customHeight="1" x14ac:dyDescent="0.25">
      <c r="B27" s="6" t="s">
        <v>334</v>
      </c>
      <c r="C27" s="250"/>
      <c r="D27" s="250">
        <v>4</v>
      </c>
      <c r="E27" s="125">
        <f t="shared" si="1"/>
        <v>0</v>
      </c>
      <c r="F27" s="26" t="s">
        <v>328</v>
      </c>
    </row>
    <row r="28" spans="2:7" ht="30" customHeight="1" x14ac:dyDescent="0.25">
      <c r="B28" s="6" t="s">
        <v>335</v>
      </c>
      <c r="C28" s="250"/>
      <c r="D28" s="250">
        <v>2</v>
      </c>
      <c r="E28" s="125">
        <f t="shared" si="1"/>
        <v>0</v>
      </c>
      <c r="F28" s="26" t="s">
        <v>328</v>
      </c>
    </row>
    <row r="29" spans="2:7" ht="15" customHeight="1" x14ac:dyDescent="0.25">
      <c r="B29" s="158" t="s">
        <v>336</v>
      </c>
      <c r="E29" s="159">
        <f>IF((D21*10+D22*10+D23*10+D24*10+D25*10+D26*10+D27*10+D28*10)=0,0,SUM(E21:E28)/(D21*10+D22*10+D23*10+D24*10+D25*10+D26*10+D27*10+D28*10))</f>
        <v>0</v>
      </c>
    </row>
    <row r="32" spans="2:7" ht="17.25" customHeight="1" x14ac:dyDescent="0.3">
      <c r="B32" s="246" t="s">
        <v>337</v>
      </c>
      <c r="C32" s="246"/>
      <c r="D32" s="246"/>
      <c r="E32" s="246"/>
      <c r="F32" s="246"/>
      <c r="G32" s="246"/>
    </row>
    <row r="33" spans="1:6" ht="15" customHeight="1" x14ac:dyDescent="0.25">
      <c r="B33" s="16" t="s">
        <v>338</v>
      </c>
      <c r="E33" s="160">
        <f>E16</f>
        <v>0</v>
      </c>
    </row>
    <row r="34" spans="1:6" ht="15" customHeight="1" x14ac:dyDescent="0.25">
      <c r="B34" s="16" t="s">
        <v>339</v>
      </c>
      <c r="E34" s="161">
        <f>E29</f>
        <v>0</v>
      </c>
    </row>
    <row r="35" spans="1:6" ht="17.25" customHeight="1" x14ac:dyDescent="0.25">
      <c r="B35" s="11" t="s">
        <v>340</v>
      </c>
      <c r="E35" s="162">
        <f>(E16+E29)/2</f>
        <v>0</v>
      </c>
    </row>
    <row r="36" spans="1:6" ht="15" customHeight="1" x14ac:dyDescent="0.25">
      <c r="B36" s="14"/>
    </row>
    <row r="37" spans="1:6" ht="8.25" customHeight="1" x14ac:dyDescent="0.25">
      <c r="A37" s="163"/>
      <c r="B37" s="164"/>
      <c r="C37" s="163"/>
      <c r="D37" s="163"/>
      <c r="E37" s="163"/>
      <c r="F37" s="163"/>
    </row>
    <row r="38" spans="1:6" ht="30.75" customHeight="1" x14ac:dyDescent="0.25">
      <c r="B38" s="11" t="s">
        <v>341</v>
      </c>
    </row>
    <row r="39" spans="1:6" ht="15" customHeight="1" x14ac:dyDescent="0.25">
      <c r="B39" s="8" t="s">
        <v>342</v>
      </c>
    </row>
    <row r="40" spans="1:6" ht="15" customHeight="1" x14ac:dyDescent="0.25">
      <c r="B40" s="165" t="s">
        <v>343</v>
      </c>
    </row>
    <row r="41" spans="1:6" ht="15" customHeight="1" x14ac:dyDescent="0.25">
      <c r="B41" s="165" t="s">
        <v>344</v>
      </c>
    </row>
    <row r="42" spans="1:6" ht="15" customHeight="1" x14ac:dyDescent="0.25">
      <c r="B42" s="8" t="s">
        <v>345</v>
      </c>
    </row>
    <row r="44" spans="1:6" ht="15" customHeight="1" x14ac:dyDescent="0.25">
      <c r="B44" s="82" t="s">
        <v>346</v>
      </c>
    </row>
    <row r="45" spans="1:6" ht="24.75" customHeight="1" x14ac:dyDescent="0.25">
      <c r="B45" s="166" t="s">
        <v>347</v>
      </c>
      <c r="C45" s="166" t="s">
        <v>263</v>
      </c>
      <c r="D45" s="166" t="s">
        <v>348</v>
      </c>
      <c r="E45" s="166" t="s">
        <v>349</v>
      </c>
    </row>
    <row r="46" spans="1:6" ht="84" customHeight="1" x14ac:dyDescent="0.25">
      <c r="B46" s="167" t="s">
        <v>350</v>
      </c>
      <c r="C46" s="168" t="s">
        <v>351</v>
      </c>
      <c r="D46" s="121" t="s">
        <v>352</v>
      </c>
      <c r="E46" s="121" t="s">
        <v>353</v>
      </c>
    </row>
    <row r="47" spans="1:6" ht="84" customHeight="1" x14ac:dyDescent="0.25">
      <c r="B47" s="167" t="s">
        <v>354</v>
      </c>
      <c r="C47" s="169" t="s">
        <v>355</v>
      </c>
      <c r="D47" s="121" t="s">
        <v>356</v>
      </c>
      <c r="E47" s="121" t="s">
        <v>357</v>
      </c>
    </row>
    <row r="48" spans="1:6" ht="84" customHeight="1" x14ac:dyDescent="0.25">
      <c r="B48" s="167" t="s">
        <v>358</v>
      </c>
      <c r="C48" s="170" t="s">
        <v>359</v>
      </c>
      <c r="D48" s="121" t="s">
        <v>360</v>
      </c>
      <c r="E48" s="121" t="s">
        <v>361</v>
      </c>
    </row>
    <row r="49" spans="2:5" ht="84" customHeight="1" x14ac:dyDescent="0.25">
      <c r="B49" s="167" t="s">
        <v>362</v>
      </c>
      <c r="C49" s="171" t="s">
        <v>363</v>
      </c>
      <c r="D49" s="121" t="s">
        <v>364</v>
      </c>
      <c r="E49" s="121" t="s">
        <v>365</v>
      </c>
    </row>
    <row r="51" spans="2:5" ht="15.75" customHeight="1" x14ac:dyDescent="0.25">
      <c r="B51" s="11" t="s">
        <v>366</v>
      </c>
    </row>
    <row r="52" spans="2:5" ht="18.75" customHeight="1" x14ac:dyDescent="0.3">
      <c r="B52" s="16" t="s">
        <v>367</v>
      </c>
      <c r="C52" s="172">
        <f>E16</f>
        <v>0</v>
      </c>
      <c r="D52" s="51" t="str">
        <f>IF(E16&lt;0.3,"Gut geschützt",IF(E16&lt;0.5,"Lücken vorhanden",IF(E16&lt;0.7,"Wesentliche Lücken","Schwerwiegende Lücken")))</f>
        <v>Gut geschützt</v>
      </c>
    </row>
    <row r="53" spans="2:5" ht="18.75" customHeight="1" x14ac:dyDescent="0.3">
      <c r="B53" s="16" t="s">
        <v>368</v>
      </c>
      <c r="C53" s="172">
        <f>E29</f>
        <v>0</v>
      </c>
      <c r="D53" s="51" t="str">
        <f>IF(E29&lt;0.3,"Tiefe Exposition",IF(E29&lt;0.5,"Moderate Exposition",IF(E29&lt;0.7,"Hohe Exposition","Sehr hohe Exposition")))</f>
        <v>Tiefe Exposition</v>
      </c>
    </row>
    <row r="54" spans="2:5" ht="26.25" customHeight="1" x14ac:dyDescent="0.25">
      <c r="B54" s="82" t="s">
        <v>369</v>
      </c>
      <c r="C54" s="173">
        <f>E35</f>
        <v>0</v>
      </c>
      <c r="D54" s="174" t="str">
        <f>IF(E35&lt;0.3,"✅ Tief — Grundschutz vorhanden",IF(E35&lt;0.5,"⚠️ Mittel — Verbesserungen nötig",IF(E35&lt;0.7,"🟠 Erhöht — Sofortmassnahmen","🔴 Kritisch — Sofort handeln")))</f>
        <v>✅ Tief — Grundschutz vorhanden</v>
      </c>
    </row>
    <row r="55" spans="2:5" ht="15.75" customHeight="1" x14ac:dyDescent="0.25"/>
    <row r="56" spans="2:5" ht="15" customHeight="1" x14ac:dyDescent="0.25">
      <c r="B56" s="175" t="s">
        <v>370</v>
      </c>
    </row>
    <row r="57" spans="2:5" ht="51.75" customHeight="1" x14ac:dyDescent="0.25">
      <c r="B57" s="176" t="str">
        <f>IF(E35&lt;0.3,"Ihr Unternehmen hat einen soliden Grundschutz. Die Bedrohungslage ist kontrolliert. Empfehlung: Regelmässige Überprüfung und kontinuierliche Verbesserung beibehalten.",IF(E35&lt;0.5,"Ihr Unternehmen hat einzelne Massnahmen umgesetzt, aber es bestehen Lücken. Ein gezielter Angriff könnte Schäden verursachen. Empfehlung: Quick Wins umsetzen und Budget für systematische Verbesserung einplanen.",IF(E35&lt;0.7,"Ihr Unternehmen hat wesentliche Schutzlücken. Die Wahrscheinlichkeit eines erfolgreichen Angriffs ist erhöht. Empfehlung: Sofortmassnahmen einleiten, GL einbeziehen und externes Assessment in Betracht ziehen.",_xlfn._LONGTEXT("Ihr Unternehmen ist auf breiter Front verwundbar und gleichzeitig stark exponiert. Ein erfolgreicher Cyberangriff ist nur eine Frage der Zeit. Empfehlung: Sofort MFA aktivieren, Backups prüfen, Patches einspielen. GL-Entscheid über Notfall-Investitionen h","erbeiführen."))))</f>
        <v>Ihr Unternehmen hat einen soliden Grundschutz. Die Bedrohungslage ist kontrolliert. Empfehlung: Regelmässige Überprüfung und kontinuierliche Verbesserung beibehalten.</v>
      </c>
    </row>
    <row r="59" spans="2:5" ht="15" customHeight="1" x14ac:dyDescent="0.25">
      <c r="B59" s="177" t="s">
        <v>371</v>
      </c>
    </row>
  </sheetData>
  <sheetProtection sheet="1" objects="1" scenarios="1"/>
  <mergeCells count="4">
    <mergeCell ref="B2:G2"/>
    <mergeCell ref="B5:G5"/>
    <mergeCell ref="B19:G19"/>
    <mergeCell ref="B32:G32"/>
  </mergeCells>
  <dataValidations count="2">
    <dataValidation type="whole" allowBlank="1" errorTitle="Ungültiger Wert" error="Bitte geben Sie einen Wert zwischen 0 und 10 ein" sqref="C7:C15 C21:C28" xr:uid="{00000000-0002-0000-0600-000000000000}">
      <formula1>0</formula1>
      <formula2>10</formula2>
    </dataValidation>
    <dataValidation type="list" allowBlank="1" sqref="D7:D15 D21:D28" xr:uid="{00000000-0002-0000-0600-000001000000}">
      <formula1>"1,2,3,4"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AD47"/>
  </sheetPr>
  <dimension ref="A1:N54"/>
  <sheetViews>
    <sheetView showGridLines="0" zoomScaleNormal="100" workbookViewId="0">
      <selection activeCell="D6" sqref="D6"/>
    </sheetView>
  </sheetViews>
  <sheetFormatPr baseColWidth="10" defaultColWidth="8.7109375" defaultRowHeight="15" x14ac:dyDescent="0.25"/>
  <cols>
    <col min="1" max="1" width="3" customWidth="1"/>
    <col min="2" max="2" width="21.85546875" customWidth="1"/>
    <col min="3" max="3" width="28" customWidth="1"/>
    <col min="4" max="4" width="23.140625" bestFit="1" customWidth="1"/>
    <col min="5" max="6" width="14" customWidth="1"/>
    <col min="7" max="7" width="60" customWidth="1"/>
    <col min="8" max="9" width="18" customWidth="1"/>
    <col min="10" max="10" width="12.42578125" customWidth="1"/>
    <col min="11" max="11" width="12.140625" style="178" customWidth="1"/>
    <col min="12" max="12" width="11.42578125" style="178" customWidth="1"/>
    <col min="13" max="13" width="8.28515625" style="178" customWidth="1"/>
    <col min="14" max="14" width="22" customWidth="1"/>
  </cols>
  <sheetData>
    <row r="1" spans="1:14" ht="15" customHeight="1" x14ac:dyDescent="0.25">
      <c r="A1" s="8"/>
      <c r="B1" s="8"/>
      <c r="C1" s="8"/>
      <c r="D1" s="8"/>
      <c r="E1" s="8"/>
      <c r="F1" s="8"/>
    </row>
    <row r="2" spans="1:14" ht="19.5" customHeight="1" x14ac:dyDescent="0.35">
      <c r="A2" s="8"/>
      <c r="B2" s="239" t="s">
        <v>372</v>
      </c>
      <c r="C2" s="239"/>
      <c r="D2" s="239"/>
      <c r="E2" s="239"/>
      <c r="F2" s="239"/>
      <c r="G2" s="239"/>
      <c r="H2" s="239"/>
      <c r="I2" s="239"/>
      <c r="J2" s="239"/>
    </row>
    <row r="3" spans="1:14" ht="15" customHeight="1" x14ac:dyDescent="0.25">
      <c r="A3" s="8"/>
      <c r="B3" s="240" t="s">
        <v>373</v>
      </c>
      <c r="C3" s="240"/>
      <c r="D3" s="240"/>
      <c r="E3" s="240"/>
      <c r="F3" s="240"/>
      <c r="G3" s="240"/>
      <c r="H3" s="240"/>
      <c r="I3" s="240"/>
      <c r="J3" s="240"/>
    </row>
    <row r="4" spans="1:14" ht="15" customHeight="1" x14ac:dyDescent="0.25">
      <c r="A4" s="8"/>
      <c r="B4" s="8"/>
      <c r="C4" s="8"/>
      <c r="D4" s="8"/>
      <c r="E4" s="8"/>
      <c r="F4" s="8"/>
    </row>
    <row r="5" spans="1:14" s="181" customFormat="1" ht="22.5" customHeight="1" x14ac:dyDescent="0.25">
      <c r="A5" s="179"/>
      <c r="B5" s="1" t="s">
        <v>171</v>
      </c>
      <c r="C5" s="1" t="s">
        <v>172</v>
      </c>
      <c r="D5" s="1" t="s">
        <v>101</v>
      </c>
      <c r="E5" s="1" t="s">
        <v>102</v>
      </c>
      <c r="F5" s="1" t="s">
        <v>103</v>
      </c>
      <c r="G5" s="1" t="s">
        <v>174</v>
      </c>
      <c r="H5" s="1" t="s">
        <v>374</v>
      </c>
      <c r="I5" s="1" t="s">
        <v>375</v>
      </c>
      <c r="J5" s="1" t="s">
        <v>376</v>
      </c>
      <c r="K5" s="180" t="s">
        <v>377</v>
      </c>
      <c r="L5" s="180" t="s">
        <v>378</v>
      </c>
      <c r="M5" s="180" t="s">
        <v>379</v>
      </c>
      <c r="N5" s="1" t="s">
        <v>173</v>
      </c>
    </row>
    <row r="6" spans="1:14" ht="49.5" customHeight="1" x14ac:dyDescent="0.25">
      <c r="A6" s="8"/>
      <c r="B6" s="125" t="s">
        <v>191</v>
      </c>
      <c r="C6" s="182" t="s">
        <v>380</v>
      </c>
      <c r="D6" s="125" t="str">
        <f>IF(Bewertung!F7="","—",LEFT(Bewertung!F7,1))</f>
        <v>—</v>
      </c>
      <c r="E6" s="125" t="str">
        <f>IF(Bewertung!G7="","—",LEFT(Bewertung!G7,1))</f>
        <v>—</v>
      </c>
      <c r="F6" s="183" t="str">
        <f>IF(Bewertung!H7="","",Bewertung!H7)</f>
        <v/>
      </c>
      <c r="G6" s="123" t="str">
        <f>IF(OR(F6="",F6=0),"Kein Handlungsbedarf — weiter so!",IF(F6=1,"Geschäftskritische Prozesse dokumentieren. IT-Abhängigkeiten in einer einfachen Übersicht festhalten.",IF(F6&gt;=3,"DRINGEND: Geschäftskritische Prozesse sind nicht identifiziert. Sofort BIA starten, kritische IT-Systeme identifizieren und Abhängigkeiten dokumentieren.","Geschäftskritische Prozesse und IT-Abhängigkeiten dokumentieren. Business Impact Analyse (BIA) durchführen. Kritische Systeme und deren Abhängigkeiten visualisieren.")))</f>
        <v>Kein Handlungsbedarf — weiter so!</v>
      </c>
      <c r="H6" s="125" t="s">
        <v>381</v>
      </c>
      <c r="I6" s="125" t="s">
        <v>382</v>
      </c>
      <c r="J6" s="125" t="str">
        <f t="shared" ref="J6:J27" si="0">IF(F6="","Nicht bewertet",IF(F6&gt;=3,"🔴 SOFORT",IF(F6&gt;=2,"🟠 Dringend",IF(F6&gt;=1,"🟡 Demnächst","🟢 OK"))))</f>
        <v>Nicht bewertet</v>
      </c>
      <c r="K6" s="184">
        <f t="shared" ref="K6:K27" si="1">IF(H6="Tief",4,IF(H6="Mittel",3,IF(H6="Hoch",2,IF(H6="Sehr hoch",1,0))))</f>
        <v>3</v>
      </c>
      <c r="L6" s="184">
        <f t="shared" ref="L6:L27" si="2">IF(I6="Tief",1,IF(I6="Mittel",2,IF(I6="Hoch",3,IF(I6="Sehr hoch",4,0))))</f>
        <v>3</v>
      </c>
      <c r="M6" s="185" t="str">
        <f t="shared" ref="M6:M27" si="3">IF(OR(F6="",F6=0,K6=0),"—",ROUND(L6*K6*F6,1)+ROW()/1000000)</f>
        <v>—</v>
      </c>
      <c r="N6" s="125" t="str">
        <f t="shared" ref="N6:N27" si="4">IF(F6="","✅ OK",IF(F6=0,"✅ OK",IF(AND(K6&gt;=3,L6&gt;=3),"🏆 Quick Win",IF(AND(K6&lt;3,L6&gt;=3),"📈 Strategisch",IF(AND(K6&gt;=3,L6&lt;3),"⚡ Kleine Verbesserung","⚠️ Aufwändig")))))</f>
        <v>✅ OK</v>
      </c>
    </row>
    <row r="7" spans="1:14" ht="49.5" customHeight="1" x14ac:dyDescent="0.25">
      <c r="A7" s="8"/>
      <c r="B7" s="125" t="s">
        <v>194</v>
      </c>
      <c r="C7" s="182" t="s">
        <v>383</v>
      </c>
      <c r="D7" s="125" t="str">
        <f>IF(Bewertung!F8="","—",LEFT(Bewertung!F8,1))</f>
        <v>—</v>
      </c>
      <c r="E7" s="125" t="str">
        <f>IF(Bewertung!G8="","—",LEFT(Bewertung!G8,1))</f>
        <v>—</v>
      </c>
      <c r="F7" s="183" t="str">
        <f>IF(Bewertung!H8="","",Bewertung!H8)</f>
        <v/>
      </c>
      <c r="G7" s="123" t="str">
        <f>IF(OR(F7="",F7=0),"Kein Handlungsbedarf — weiter so!",IF(F7=1,"Risikoappetit mit GL besprechen und dokumentieren. Bestehendes Risikoregister aktualisieren.",IF(F7&gt;=3,"DRINGEND: Ohne Risikomanagement fliegen Sie blind. Sofort Top-5-Cyberrisiken identifizieren, Risikoappetit mit GL definieren und Register aufbauen.","Cybersecurity-Risikoregister erstellen. Risikoappetit mit GL definieren. Jährliche Risikobeurteilung einplanen. Top-5-Risiken mit Massnahmen dokumentieren.")))</f>
        <v>Kein Handlungsbedarf — weiter so!</v>
      </c>
      <c r="H7" s="125" t="s">
        <v>381</v>
      </c>
      <c r="I7" s="186" t="s">
        <v>384</v>
      </c>
      <c r="J7" s="125" t="str">
        <f t="shared" si="0"/>
        <v>Nicht bewertet</v>
      </c>
      <c r="K7" s="184">
        <f t="shared" si="1"/>
        <v>3</v>
      </c>
      <c r="L7" s="184">
        <f t="shared" si="2"/>
        <v>4</v>
      </c>
      <c r="M7" s="185" t="str">
        <f t="shared" si="3"/>
        <v>—</v>
      </c>
      <c r="N7" s="125" t="str">
        <f t="shared" si="4"/>
        <v>✅ OK</v>
      </c>
    </row>
    <row r="8" spans="1:14" ht="49.5" customHeight="1" x14ac:dyDescent="0.25">
      <c r="A8" s="8"/>
      <c r="B8" s="125" t="s">
        <v>197</v>
      </c>
      <c r="C8" s="182" t="s">
        <v>385</v>
      </c>
      <c r="D8" s="125" t="str">
        <f>IF(Bewertung!F9="","—",LEFT(Bewertung!F9,1))</f>
        <v>—</v>
      </c>
      <c r="E8" s="125" t="str">
        <f>IF(Bewertung!G9="","—",LEFT(Bewertung!G9,1))</f>
        <v>—</v>
      </c>
      <c r="F8" s="183" t="str">
        <f>IF(Bewertung!H9="","",Bewertung!H9)</f>
        <v/>
      </c>
      <c r="G8" s="123" t="str">
        <f>IF(OR(F8="",F8=0),"Kein Handlungsbedarf — weiter so!",IF(F8=1,"Bestehende IT-Verträge auf Sicherheitsklauseln prüfen. Bei nächster Erneuerung ergänzen.",IF(F8&gt;=3,"DRINGEND: Lieferantenrisiken sind unbekannt. Sofort kritische IT-Lieferanten identifizieren und Verträge auf Sicherheitsklauseln prüfen.","Sicherheitsanforderungen in alle IT-Verträge aufnehmen. Kritische Lieferanten jährlich bewerten. SLA mit Security-Klauseln ergänzen.")))</f>
        <v>Kein Handlungsbedarf — weiter so!</v>
      </c>
      <c r="H8" s="187" t="s">
        <v>386</v>
      </c>
      <c r="I8" s="125" t="s">
        <v>381</v>
      </c>
      <c r="J8" s="125" t="str">
        <f t="shared" si="0"/>
        <v>Nicht bewertet</v>
      </c>
      <c r="K8" s="184">
        <f t="shared" si="1"/>
        <v>4</v>
      </c>
      <c r="L8" s="184">
        <f t="shared" si="2"/>
        <v>2</v>
      </c>
      <c r="M8" s="185" t="str">
        <f t="shared" si="3"/>
        <v>—</v>
      </c>
      <c r="N8" s="125" t="str">
        <f t="shared" si="4"/>
        <v>✅ OK</v>
      </c>
    </row>
    <row r="9" spans="1:14" ht="49.5" customHeight="1" x14ac:dyDescent="0.25">
      <c r="A9" s="8"/>
      <c r="B9" s="125" t="s">
        <v>200</v>
      </c>
      <c r="C9" s="182" t="s">
        <v>387</v>
      </c>
      <c r="D9" s="125" t="str">
        <f>IF(Bewertung!F10="","—",LEFT(Bewertung!F10,1))</f>
        <v>—</v>
      </c>
      <c r="E9" s="125" t="str">
        <f>IF(Bewertung!G10="","—",LEFT(Bewertung!G10,1))</f>
        <v>—</v>
      </c>
      <c r="F9" s="183" t="str">
        <f>IF(Bewertung!H10="","",Bewertung!H10)</f>
        <v/>
      </c>
      <c r="G9" s="123" t="str">
        <f>IF(OR(F9="",F9=0),"Kein Handlungsbedarf — weiter so!",IF(F9=1,"Bestehende Zuständigkeiten verschriftlichen. Security-Themen in Stellenbeschreibungen aufnehmen.",IF(F9&gt;=3,"DRINGEND: Niemand ist für Cybersecurity verantwortlich. Sofort eine Person als Verantwortliche/r benennen und RACI-Matrix erstellen.","Informationssicherheitsverantwortlichen (CISO) benennen. RACI-Matrix für Security-Aufgaben erstellen. Stellvertretungen regeln.")))</f>
        <v>Kein Handlungsbedarf — weiter so!</v>
      </c>
      <c r="H9" s="187" t="s">
        <v>386</v>
      </c>
      <c r="I9" s="125" t="s">
        <v>382</v>
      </c>
      <c r="J9" s="125" t="str">
        <f t="shared" si="0"/>
        <v>Nicht bewertet</v>
      </c>
      <c r="K9" s="184">
        <f t="shared" si="1"/>
        <v>4</v>
      </c>
      <c r="L9" s="184">
        <f t="shared" si="2"/>
        <v>3</v>
      </c>
      <c r="M9" s="185" t="str">
        <f t="shared" si="3"/>
        <v>—</v>
      </c>
      <c r="N9" s="125" t="str">
        <f t="shared" si="4"/>
        <v>✅ OK</v>
      </c>
    </row>
    <row r="10" spans="1:14" ht="49.5" customHeight="1" x14ac:dyDescent="0.25">
      <c r="A10" s="8"/>
      <c r="B10" s="125" t="s">
        <v>203</v>
      </c>
      <c r="C10" s="182" t="s">
        <v>388</v>
      </c>
      <c r="D10" s="125" t="str">
        <f>IF(Bewertung!F11="","—",LEFT(Bewertung!F11,1))</f>
        <v>—</v>
      </c>
      <c r="E10" s="125" t="str">
        <f>IF(Bewertung!G11="","—",LEFT(Bewertung!G11,1))</f>
        <v>—</v>
      </c>
      <c r="F10" s="183" t="str">
        <f>IF(Bewertung!H11="","",Bewertung!H11)</f>
        <v/>
      </c>
      <c r="G10" s="123" t="str">
        <f>IF(OR(F10="",F10=0),"Kein Handlungsbedarf — weiter so!",IF(F10=1,"Bestehende Richtlinien auf Aktualität prüfen. Fehlende Policy identifizieren und priorisieren.",IF(F10&gt;=3,"DRINGEND: Ohne Richtlinien gibt es keine verbindlichen Regeln. Sofort Passwort-Policy und Acceptable Use Policy erstellen und kommunizieren.","Passwort-Policy, Acceptable Use Policy, BYOD-Policy, Clean Desk Policy erstellen. Jährlich überprüfen und Mitarbeitende schulen.")))</f>
        <v>Kein Handlungsbedarf — weiter so!</v>
      </c>
      <c r="H10" s="187" t="s">
        <v>386</v>
      </c>
      <c r="I10" s="125" t="s">
        <v>382</v>
      </c>
      <c r="J10" s="125" t="str">
        <f t="shared" si="0"/>
        <v>Nicht bewertet</v>
      </c>
      <c r="K10" s="184">
        <f t="shared" si="1"/>
        <v>4</v>
      </c>
      <c r="L10" s="184">
        <f t="shared" si="2"/>
        <v>3</v>
      </c>
      <c r="M10" s="185" t="str">
        <f t="shared" si="3"/>
        <v>—</v>
      </c>
      <c r="N10" s="125" t="str">
        <f t="shared" si="4"/>
        <v>✅ OK</v>
      </c>
    </row>
    <row r="11" spans="1:14" ht="49.5" customHeight="1" x14ac:dyDescent="0.25">
      <c r="A11" s="8"/>
      <c r="B11" s="125" t="s">
        <v>206</v>
      </c>
      <c r="C11" s="182" t="s">
        <v>389</v>
      </c>
      <c r="D11" s="125" t="str">
        <f>IF(Bewertung!F12="","—",LEFT(Bewertung!F12,1))</f>
        <v>—</v>
      </c>
      <c r="E11" s="125" t="str">
        <f>IF(Bewertung!G12="","—",LEFT(Bewertung!G12,1))</f>
        <v>—</v>
      </c>
      <c r="F11" s="183" t="str">
        <f>IF(Bewertung!H12="","",Bewertung!H12)</f>
        <v/>
      </c>
      <c r="G11" s="123" t="str">
        <f>IF(OR(F11="",F11=0),"Kein Handlungsbedarf — weiter so!",IF(F11=1,"Cybersecurity als Traktandum in bestehende GL-Sitzungen aufnehmen (halbjährlich).",IF(F11&gt;=3,"DRINGEND: Die GL hat keinen Einblick in die Cybersecurity-Lage. Sofort Reporting-Prozess aufsetzen und Standortbestimmung an GL präsentieren.","Quartalsweiser Cybersecurity-Bericht an GL. Jährlicher Security Review. KPIs für Security definieren und messen.")))</f>
        <v>Kein Handlungsbedarf — weiter so!</v>
      </c>
      <c r="H11" s="187" t="s">
        <v>386</v>
      </c>
      <c r="I11" s="125" t="s">
        <v>381</v>
      </c>
      <c r="J11" s="125" t="str">
        <f t="shared" si="0"/>
        <v>Nicht bewertet</v>
      </c>
      <c r="K11" s="184">
        <f t="shared" si="1"/>
        <v>4</v>
      </c>
      <c r="L11" s="184">
        <f t="shared" si="2"/>
        <v>2</v>
      </c>
      <c r="M11" s="185" t="str">
        <f t="shared" si="3"/>
        <v>—</v>
      </c>
      <c r="N11" s="125" t="str">
        <f t="shared" si="4"/>
        <v>✅ OK</v>
      </c>
    </row>
    <row r="12" spans="1:14" ht="49.5" customHeight="1" x14ac:dyDescent="0.25">
      <c r="A12" s="8"/>
      <c r="B12" s="125" t="s">
        <v>210</v>
      </c>
      <c r="C12" s="182" t="s">
        <v>390</v>
      </c>
      <c r="D12" s="125" t="str">
        <f>IF(Bewertung!F14="","—",LEFT(Bewertung!F14,1))</f>
        <v>—</v>
      </c>
      <c r="E12" s="125" t="str">
        <f>IF(Bewertung!G14="","—",LEFT(Bewertung!G14,1))</f>
        <v>—</v>
      </c>
      <c r="F12" s="183" t="str">
        <f>IF(Bewertung!H14="","",Bewertung!H14)</f>
        <v/>
      </c>
      <c r="G12" s="123" t="str">
        <f>IF(OR(F12="",F12=0),"Kein Handlungsbedarf — weiter so!",IF(F12=1,"Bestehendes Inventar vervollständigen. Verantwortliche für kritische Assets zuweisen.",IF(F12&gt;=3,"DRINGEND: Ohne Inventar wissen Sie nicht, was Sie schützen müssen. Sofort alle Geräte, Software und Cloud-Dienste erfassen.","Hardware- und Software-Inventar erstellen (GLPI, Lansweeper). Verantwortliche pro Asset definieren. Kritikalität klassifizieren. Shadow-IT identifizieren.")))</f>
        <v>Kein Handlungsbedarf — weiter so!</v>
      </c>
      <c r="H12" s="125" t="s">
        <v>381</v>
      </c>
      <c r="I12" s="186" t="s">
        <v>384</v>
      </c>
      <c r="J12" s="125" t="str">
        <f t="shared" si="0"/>
        <v>Nicht bewertet</v>
      </c>
      <c r="K12" s="184">
        <f t="shared" si="1"/>
        <v>3</v>
      </c>
      <c r="L12" s="184">
        <f t="shared" si="2"/>
        <v>4</v>
      </c>
      <c r="M12" s="185" t="str">
        <f t="shared" si="3"/>
        <v>—</v>
      </c>
      <c r="N12" s="125" t="str">
        <f t="shared" si="4"/>
        <v>✅ OK</v>
      </c>
    </row>
    <row r="13" spans="1:14" ht="49.5" customHeight="1" x14ac:dyDescent="0.25">
      <c r="A13" s="8"/>
      <c r="B13" s="125" t="s">
        <v>213</v>
      </c>
      <c r="C13" s="182" t="s">
        <v>391</v>
      </c>
      <c r="D13" s="125" t="str">
        <f>IF(Bewertung!F15="","—",LEFT(Bewertung!F15,1))</f>
        <v>—</v>
      </c>
      <c r="E13" s="125" t="str">
        <f>IF(Bewertung!G15="","—",LEFT(Bewertung!G15,1))</f>
        <v>—</v>
      </c>
      <c r="F13" s="183" t="str">
        <f>IF(Bewertung!H15="","",Bewertung!H15)</f>
        <v/>
      </c>
      <c r="G13" s="123" t="str">
        <f>IF(OR(F13="",F13=0),"Kein Handlungsbedarf — weiter so!",IF(F13=1,"Nächsten Vulnerability Scan planen. Ergebnisse dokumentieren und priorisieren.",IF(F13&gt;=3,"DRINGEND: Schwachstellen sind unbekannt. Sofort externen Vulnerability Scan beauftragen und kritische Findings beheben.","Jährliche Vulnerability Scans. Penetrationstest alle 1-2 Jahre. Risikobewertung nach NIST-Methodik dokumentieren.")))</f>
        <v>Kein Handlungsbedarf — weiter so!</v>
      </c>
      <c r="H13" s="188" t="s">
        <v>382</v>
      </c>
      <c r="I13" s="186" t="s">
        <v>384</v>
      </c>
      <c r="J13" s="125" t="str">
        <f t="shared" si="0"/>
        <v>Nicht bewertet</v>
      </c>
      <c r="K13" s="184">
        <f t="shared" si="1"/>
        <v>2</v>
      </c>
      <c r="L13" s="184">
        <f t="shared" si="2"/>
        <v>4</v>
      </c>
      <c r="M13" s="185" t="str">
        <f t="shared" si="3"/>
        <v>—</v>
      </c>
      <c r="N13" s="125" t="str">
        <f t="shared" si="4"/>
        <v>✅ OK</v>
      </c>
    </row>
    <row r="14" spans="1:14" ht="49.5" customHeight="1" x14ac:dyDescent="0.25">
      <c r="A14" s="8"/>
      <c r="B14" s="125" t="s">
        <v>216</v>
      </c>
      <c r="C14" s="182" t="s">
        <v>392</v>
      </c>
      <c r="D14" s="125" t="str">
        <f>IF(Bewertung!F16="","—",LEFT(Bewertung!F16,1))</f>
        <v>—</v>
      </c>
      <c r="E14" s="125" t="str">
        <f>IF(Bewertung!G16="","—",LEFT(Bewertung!G16,1))</f>
        <v>—</v>
      </c>
      <c r="F14" s="183" t="str">
        <f>IF(Bewertung!H16="","",Bewertung!H16)</f>
        <v/>
      </c>
      <c r="G14" s="123" t="str">
        <f>IF(OR(F14="",F14=0),"Kein Handlungsbedarf — weiter so!",IF(F14=1,"Lessons-Learned-Prozess nach Vorfällen einführen. Einfaches Tracking für offene Massnahmen.",IF(F14&gt;=3,"DRINGEND: Ohne Verbesserungsprozess wiederholen sich Fehler. Sofort Lessons-Learned-Template einführen und erste Review durchführen.","Nach Vorfällen Lessons Learned dokumentieren. Massnahmen-Tracking mit Termin und Verantwortlichem. Verbesserungen in Policies einfliessen lassen.")))</f>
        <v>Kein Handlungsbedarf — weiter so!</v>
      </c>
      <c r="H14" s="187" t="s">
        <v>386</v>
      </c>
      <c r="I14" s="125" t="s">
        <v>382</v>
      </c>
      <c r="J14" s="125" t="str">
        <f t="shared" si="0"/>
        <v>Nicht bewertet</v>
      </c>
      <c r="K14" s="184">
        <f t="shared" si="1"/>
        <v>4</v>
      </c>
      <c r="L14" s="184">
        <f t="shared" si="2"/>
        <v>3</v>
      </c>
      <c r="M14" s="185" t="str">
        <f t="shared" si="3"/>
        <v>—</v>
      </c>
      <c r="N14" s="125" t="str">
        <f t="shared" si="4"/>
        <v>✅ OK</v>
      </c>
    </row>
    <row r="15" spans="1:14" ht="49.5" customHeight="1" x14ac:dyDescent="0.25">
      <c r="A15" s="8"/>
      <c r="B15" s="125" t="s">
        <v>220</v>
      </c>
      <c r="C15" s="182" t="s">
        <v>393</v>
      </c>
      <c r="D15" s="125" t="str">
        <f>IF(Bewertung!F18="","—",LEFT(Bewertung!F18,1))</f>
        <v>—</v>
      </c>
      <c r="E15" s="125" t="str">
        <f>IF(Bewertung!G18="","—",LEFT(Bewertung!G18,1))</f>
        <v>—</v>
      </c>
      <c r="F15" s="183" t="str">
        <f>IF(Bewertung!H18="","",Bewertung!H18)</f>
        <v/>
      </c>
      <c r="G15" s="123" t="str">
        <f>IF(OR(F15="",F15=0),"Kein Handlungsbedarf — weiter so!",IF(F15=1,"MFA für externe Zugriffe und Adminkonten aktivieren. Berechtigungen der letzten 6 Monate prüfen.",IF(F15&gt;=3,"DRINGEND: Zugänge sind ungenügend geschützt. Sofort MFA für alle Adminkonten und externen Zugriffe aktivieren. Shared Accounts eliminieren.","MFA für alle externen Zugriffe und Adminkonten. Least-Privilege umsetzen. Vierteljährliche Berechtigungsprüfung. Shared Accounts eliminieren.")))</f>
        <v>Kein Handlungsbedarf — weiter so!</v>
      </c>
      <c r="H15" s="125" t="s">
        <v>381</v>
      </c>
      <c r="I15" s="186" t="s">
        <v>384</v>
      </c>
      <c r="J15" s="125" t="str">
        <f t="shared" si="0"/>
        <v>Nicht bewertet</v>
      </c>
      <c r="K15" s="184">
        <f t="shared" si="1"/>
        <v>3</v>
      </c>
      <c r="L15" s="184">
        <f t="shared" si="2"/>
        <v>4</v>
      </c>
      <c r="M15" s="185" t="str">
        <f t="shared" si="3"/>
        <v>—</v>
      </c>
      <c r="N15" s="125" t="str">
        <f t="shared" si="4"/>
        <v>✅ OK</v>
      </c>
    </row>
    <row r="16" spans="1:14" ht="49.5" customHeight="1" x14ac:dyDescent="0.25">
      <c r="A16" s="8"/>
      <c r="B16" s="125" t="s">
        <v>223</v>
      </c>
      <c r="C16" s="182" t="s">
        <v>394</v>
      </c>
      <c r="D16" s="125" t="str">
        <f>IF(Bewertung!F19="","—",LEFT(Bewertung!F19,1))</f>
        <v>—</v>
      </c>
      <c r="E16" s="125" t="str">
        <f>IF(Bewertung!G19="","—",LEFT(Bewertung!G19,1))</f>
        <v>—</v>
      </c>
      <c r="F16" s="183" t="str">
        <f>IF(Bewertung!H19="","",Bewertung!H19)</f>
        <v/>
      </c>
      <c r="G16" s="123" t="str">
        <f>IF(OR(F16="",F16=0),"Kein Handlungsbedarf — weiter so!",IF(F16=1,"Nächstes Awareness-Training planen. Phishing-Simulation durchführen.",IF(F16&gt;=3,"DRINGEND: 91% der Angriffe starten mit Phishing. Sofort Basis-Schulung für alle MA organisieren und erste Phishing-Simulation durchführen.","Security-Awareness-Training für alle Mitarbeitenden (z.B. KnowBe4, SoSafe). Phishing-Simulationen vierteljährlich. Onboarding-Schulung für neue MA.")))</f>
        <v>Kein Handlungsbedarf — weiter so!</v>
      </c>
      <c r="H16" s="125" t="s">
        <v>381</v>
      </c>
      <c r="I16" s="186" t="s">
        <v>384</v>
      </c>
      <c r="J16" s="125" t="str">
        <f t="shared" si="0"/>
        <v>Nicht bewertet</v>
      </c>
      <c r="K16" s="184">
        <f t="shared" si="1"/>
        <v>3</v>
      </c>
      <c r="L16" s="184">
        <f t="shared" si="2"/>
        <v>4</v>
      </c>
      <c r="M16" s="185" t="str">
        <f t="shared" si="3"/>
        <v>—</v>
      </c>
      <c r="N16" s="125" t="str">
        <f t="shared" si="4"/>
        <v>✅ OK</v>
      </c>
    </row>
    <row r="17" spans="1:14" ht="49.5" customHeight="1" x14ac:dyDescent="0.25">
      <c r="A17" s="8"/>
      <c r="B17" s="125" t="s">
        <v>226</v>
      </c>
      <c r="C17" s="182" t="s">
        <v>395</v>
      </c>
      <c r="D17" s="125" t="str">
        <f>IF(Bewertung!F20="","—",LEFT(Bewertung!F20,1))</f>
        <v>—</v>
      </c>
      <c r="E17" s="125" t="str">
        <f>IF(Bewertung!G20="","—",LEFT(Bewertung!G20,1))</f>
        <v>—</v>
      </c>
      <c r="F17" s="183" t="str">
        <f>IF(Bewertung!H20="","",Bewertung!H20)</f>
        <v/>
      </c>
      <c r="G17" s="123" t="str">
        <f>IF(OR(F17="",F17=0),"Kein Handlungsbedarf — weiter so!",IF(F17=1,"Datenklassifizierung für die wichtigsten Systeme durchführen. Verschlüsselung prüfen.",IF(F17&gt;=3,"DRINGEND: Sensible Daten sind ungeschützt. Sofort Verschlüsselung für kritische Daten aktivieren und Klassifizierung starten.","Datenklassifizierung (öffentlich/intern/vertraulich/geheim). Verschlüsselung at-rest und in-transit. DLP-Grundregeln für E-Mail und Cloud.")))</f>
        <v>Kein Handlungsbedarf — weiter so!</v>
      </c>
      <c r="H17" s="125" t="s">
        <v>381</v>
      </c>
      <c r="I17" s="186" t="s">
        <v>384</v>
      </c>
      <c r="J17" s="125" t="str">
        <f t="shared" si="0"/>
        <v>Nicht bewertet</v>
      </c>
      <c r="K17" s="184">
        <f t="shared" si="1"/>
        <v>3</v>
      </c>
      <c r="L17" s="184">
        <f t="shared" si="2"/>
        <v>4</v>
      </c>
      <c r="M17" s="185" t="str">
        <f t="shared" si="3"/>
        <v>—</v>
      </c>
      <c r="N17" s="125" t="str">
        <f t="shared" si="4"/>
        <v>✅ OK</v>
      </c>
    </row>
    <row r="18" spans="1:14" ht="49.5" customHeight="1" x14ac:dyDescent="0.25">
      <c r="A18" s="8"/>
      <c r="B18" s="125" t="s">
        <v>229</v>
      </c>
      <c r="C18" s="182" t="s">
        <v>396</v>
      </c>
      <c r="D18" s="125" t="str">
        <f>IF(Bewertung!F21="","—",LEFT(Bewertung!F21,1))</f>
        <v>—</v>
      </c>
      <c r="E18" s="125" t="str">
        <f>IF(Bewertung!G21="","—",LEFT(Bewertung!G21,1))</f>
        <v>—</v>
      </c>
      <c r="F18" s="183" t="str">
        <f>IF(Bewertung!H21="","",Bewertung!H21)</f>
        <v/>
      </c>
      <c r="G18" s="123" t="str">
        <f>IF(OR(F18="",F18=0),"Kein Handlungsbedarf — weiter so!",IF(F18=1,"Patch-Status aller Systeme prüfen. Automatisches Patching für OS und Standardsoftware aktivieren.",IF(F18&gt;=3,"DRINGEND: Ungepatchte Systeme sind offene Türen. Sofort kritische Patches einspielen und automatisches Patch-Management einführen.","Automatisches Patch-Management (WSUS, Intune). Härtung nach CIS Benchmarks. Unnötige Dienste deaktivieren. Endpoint Protection auf allen Geräten.")))</f>
        <v>Kein Handlungsbedarf — weiter so!</v>
      </c>
      <c r="H18" s="125" t="s">
        <v>381</v>
      </c>
      <c r="I18" s="125" t="s">
        <v>382</v>
      </c>
      <c r="J18" s="125" t="str">
        <f t="shared" si="0"/>
        <v>Nicht bewertet</v>
      </c>
      <c r="K18" s="184">
        <f t="shared" si="1"/>
        <v>3</v>
      </c>
      <c r="L18" s="184">
        <f t="shared" si="2"/>
        <v>3</v>
      </c>
      <c r="M18" s="185" t="str">
        <f t="shared" si="3"/>
        <v>—</v>
      </c>
      <c r="N18" s="125" t="str">
        <f t="shared" si="4"/>
        <v>✅ OK</v>
      </c>
    </row>
    <row r="19" spans="1:14" ht="49.5" customHeight="1" x14ac:dyDescent="0.25">
      <c r="A19" s="8"/>
      <c r="B19" s="125" t="s">
        <v>232</v>
      </c>
      <c r="C19" s="182" t="s">
        <v>397</v>
      </c>
      <c r="D19" s="125" t="str">
        <f>IF(Bewertung!F22="","—",LEFT(Bewertung!F22,1))</f>
        <v>—</v>
      </c>
      <c r="E19" s="125" t="str">
        <f>IF(Bewertung!G22="","—",LEFT(Bewertung!G22,1))</f>
        <v>—</v>
      </c>
      <c r="F19" s="183" t="str">
        <f>IF(Bewertung!H22="","",Bewertung!H22)</f>
        <v/>
      </c>
      <c r="G19" s="123" t="str">
        <f>IF(OR(F19="",F19=0),"Kein Handlungsbedarf — weiter so!",IF(F19=1,"Bestehenden DR-Plan aktualisieren. RTO/RPO für kritische Systeme prüfen.",IF(F19&gt;=3,"DRINGEND: Bei einem Ausfall gibt es keinen Plan B. Sofort DR-Plan für die 5 kritischsten Systeme erstellen und Backup-Recovery testen.","Redundanz für kritische Systeme. DR-Plan erstellen und jährlich testen. RTO/RPO definieren und kommunizieren.")))</f>
        <v>Kein Handlungsbedarf — weiter so!</v>
      </c>
      <c r="H19" s="188" t="s">
        <v>382</v>
      </c>
      <c r="I19" s="186" t="s">
        <v>384</v>
      </c>
      <c r="J19" s="125" t="str">
        <f t="shared" si="0"/>
        <v>Nicht bewertet</v>
      </c>
      <c r="K19" s="184">
        <f t="shared" si="1"/>
        <v>2</v>
      </c>
      <c r="L19" s="184">
        <f t="shared" si="2"/>
        <v>4</v>
      </c>
      <c r="M19" s="185" t="str">
        <f t="shared" si="3"/>
        <v>—</v>
      </c>
      <c r="N19" s="125" t="str">
        <f t="shared" si="4"/>
        <v>✅ OK</v>
      </c>
    </row>
    <row r="20" spans="1:14" ht="49.5" customHeight="1" x14ac:dyDescent="0.25">
      <c r="A20" s="8"/>
      <c r="B20" s="125" t="s">
        <v>236</v>
      </c>
      <c r="C20" s="182" t="s">
        <v>398</v>
      </c>
      <c r="D20" s="125" t="str">
        <f>IF(Bewertung!F24="","—",LEFT(Bewertung!F24,1))</f>
        <v>—</v>
      </c>
      <c r="E20" s="125" t="str">
        <f>IF(Bewertung!G24="","—",LEFT(Bewertung!G24,1))</f>
        <v>—</v>
      </c>
      <c r="F20" s="183" t="str">
        <f>IF(Bewertung!H24="","",Bewertung!H24)</f>
        <v/>
      </c>
      <c r="G20" s="123" t="str">
        <f>IF(OR(F20="",F20=0),"Kein Handlungsbedarf — weiter so!",IF(F20=1,"Zentrale Log-Sammlung für kritische Systeme einrichten. Basis-Alarmregeln definieren.",IF(F20&gt;=3,"DRINGEND: Angriffe bleiben unentdeckt. Sofort mindestens zentrale Logs aktivieren und Managed Detection &amp; Response (MDR) evaluieren.","SIEM oder Managed SOC/MDR einführen. Logdaten zentral sammeln. Alarmregeln definieren. 24/7-Monitoring für kritische Systeme.")))</f>
        <v>Kein Handlungsbedarf — weiter so!</v>
      </c>
      <c r="H20" s="188" t="s">
        <v>382</v>
      </c>
      <c r="I20" s="186" t="s">
        <v>384</v>
      </c>
      <c r="J20" s="125" t="str">
        <f t="shared" si="0"/>
        <v>Nicht bewertet</v>
      </c>
      <c r="K20" s="184">
        <f t="shared" si="1"/>
        <v>2</v>
      </c>
      <c r="L20" s="184">
        <f t="shared" si="2"/>
        <v>4</v>
      </c>
      <c r="M20" s="185" t="str">
        <f t="shared" si="3"/>
        <v>—</v>
      </c>
      <c r="N20" s="125" t="str">
        <f t="shared" si="4"/>
        <v>✅ OK</v>
      </c>
    </row>
    <row r="21" spans="1:14" ht="49.5" customHeight="1" x14ac:dyDescent="0.25">
      <c r="A21" s="8"/>
      <c r="B21" s="125" t="s">
        <v>239</v>
      </c>
      <c r="C21" s="182" t="s">
        <v>399</v>
      </c>
      <c r="D21" s="125" t="str">
        <f>IF(Bewertung!F25="","—",LEFT(Bewertung!F25,1))</f>
        <v>—</v>
      </c>
      <c r="E21" s="125" t="str">
        <f>IF(Bewertung!G25="","—",LEFT(Bewertung!G25,1))</f>
        <v>—</v>
      </c>
      <c r="F21" s="183" t="str">
        <f>IF(Bewertung!H25="","",Bewertung!H25)</f>
        <v/>
      </c>
      <c r="G21" s="123" t="str">
        <f>IF(OR(F21="",F21=0),"Kein Handlungsbedarf — weiter so!",IF(F21=1,"Eskalationsprozess dokumentieren. Schweregrad-Matrix erstellen.",IF(F21&gt;=3,"DRINGEND: Erkannte Anomalien werden nicht analysiert. Sofort Eskalationsprozess und Schweregrad-Matrix definieren.","Eskalationsprozess mit Schweregrad-Matrix definieren. Playbooks für häufige Szenarien (Phishing, Malware, Datenleck).")))</f>
        <v>Kein Handlungsbedarf — weiter so!</v>
      </c>
      <c r="H21" s="187" t="s">
        <v>386</v>
      </c>
      <c r="I21" s="125" t="s">
        <v>382</v>
      </c>
      <c r="J21" s="125" t="str">
        <f t="shared" si="0"/>
        <v>Nicht bewertet</v>
      </c>
      <c r="K21" s="184">
        <f t="shared" si="1"/>
        <v>4</v>
      </c>
      <c r="L21" s="184">
        <f t="shared" si="2"/>
        <v>3</v>
      </c>
      <c r="M21" s="185" t="str">
        <f t="shared" si="3"/>
        <v>—</v>
      </c>
      <c r="N21" s="125" t="str">
        <f t="shared" si="4"/>
        <v>✅ OK</v>
      </c>
    </row>
    <row r="22" spans="1:14" ht="49.5" customHeight="1" x14ac:dyDescent="0.25">
      <c r="A22" s="8"/>
      <c r="B22" s="125" t="s">
        <v>243</v>
      </c>
      <c r="C22" s="182" t="s">
        <v>400</v>
      </c>
      <c r="D22" s="125" t="str">
        <f>IF(Bewertung!F27="","—",LEFT(Bewertung!F27,1))</f>
        <v>—</v>
      </c>
      <c r="E22" s="125" t="str">
        <f>IF(Bewertung!G27="","—",LEFT(Bewertung!G27,1))</f>
        <v>—</v>
      </c>
      <c r="F22" s="183" t="str">
        <f>IF(Bewertung!H27="","",Bewertung!H27)</f>
        <v/>
      </c>
      <c r="G22" s="123" t="str">
        <f>IF(OR(F22="",F22=0),"Kein Handlungsbedarf — weiter so!",IF(F22=1,"Bestehenden Incident Response Plan aktualisieren. Notfall-Kontaktliste prüfen.",IF(F22&gt;=3,"DRINGEND: Bei einem Vorfall herrscht Chaos. Sofort Notfallplan erstellen, Kontaktliste zusammenstellen und Tabletop-Übung durchführen.","Incident Response Plan erstellen. Notfall-Kontaktliste pflegen. Jährliche Tabletop-Übung. Retainer mit IR-Dienstleister prüfen.")))</f>
        <v>Kein Handlungsbedarf — weiter so!</v>
      </c>
      <c r="H22" s="125" t="s">
        <v>381</v>
      </c>
      <c r="I22" s="186" t="s">
        <v>384</v>
      </c>
      <c r="J22" s="125" t="str">
        <f t="shared" si="0"/>
        <v>Nicht bewertet</v>
      </c>
      <c r="K22" s="184">
        <f t="shared" si="1"/>
        <v>3</v>
      </c>
      <c r="L22" s="184">
        <f t="shared" si="2"/>
        <v>4</v>
      </c>
      <c r="M22" s="185" t="str">
        <f t="shared" si="3"/>
        <v>—</v>
      </c>
      <c r="N22" s="125" t="str">
        <f t="shared" si="4"/>
        <v>✅ OK</v>
      </c>
    </row>
    <row r="23" spans="1:14" ht="49.5" customHeight="1" x14ac:dyDescent="0.25">
      <c r="A23" s="8"/>
      <c r="B23" s="125" t="s">
        <v>246</v>
      </c>
      <c r="C23" s="182" t="s">
        <v>401</v>
      </c>
      <c r="D23" s="125" t="str">
        <f>IF(Bewertung!F28="","—",LEFT(Bewertung!F28,1))</f>
        <v>—</v>
      </c>
      <c r="E23" s="125" t="str">
        <f>IF(Bewertung!G28="","—",LEFT(Bewertung!G28,1))</f>
        <v>—</v>
      </c>
      <c r="F23" s="183" t="str">
        <f>IF(Bewertung!H28="","",Bewertung!H28)</f>
        <v/>
      </c>
      <c r="G23" s="123" t="str">
        <f>IF(OR(F23="",F23=0),"Kein Handlungsbedarf — weiter so!",IF(F23=1,"Externen IR-Dienstleister evaluieren. Basis-Forensik-Checkliste erstellen.",IF(F23&gt;=3,"DRINGEND: Sie können weder Ursache noch Ausmass feststellen. Sofort IR-Retainer mit Forensik-Anbieter abschliessen.","Forensik-Fähigkeiten aufbauen oder externen IR-Dienstleister mandatieren (Retainer). Evidenz-Sicherungsprozess dokumentieren.")))</f>
        <v>Kein Handlungsbedarf — weiter so!</v>
      </c>
      <c r="H23" s="188" t="s">
        <v>382</v>
      </c>
      <c r="I23" s="125" t="s">
        <v>382</v>
      </c>
      <c r="J23" s="125" t="str">
        <f t="shared" si="0"/>
        <v>Nicht bewertet</v>
      </c>
      <c r="K23" s="184">
        <f t="shared" si="1"/>
        <v>2</v>
      </c>
      <c r="L23" s="184">
        <f t="shared" si="2"/>
        <v>3</v>
      </c>
      <c r="M23" s="185" t="str">
        <f t="shared" si="3"/>
        <v>—</v>
      </c>
      <c r="N23" s="125" t="str">
        <f t="shared" si="4"/>
        <v>✅ OK</v>
      </c>
    </row>
    <row r="24" spans="1:14" ht="49.5" customHeight="1" x14ac:dyDescent="0.25">
      <c r="A24" s="8"/>
      <c r="B24" s="125" t="s">
        <v>249</v>
      </c>
      <c r="C24" s="182" t="s">
        <v>402</v>
      </c>
      <c r="D24" s="125" t="str">
        <f>IF(Bewertung!F29="","—",LEFT(Bewertung!F29,1))</f>
        <v>—</v>
      </c>
      <c r="E24" s="125" t="str">
        <f>IF(Bewertung!G29="","—",LEFT(Bewertung!G29,1))</f>
        <v>—</v>
      </c>
      <c r="F24" s="183" t="str">
        <f>IF(Bewertung!H29="","",Bewertung!H29)</f>
        <v/>
      </c>
      <c r="G24" s="123" t="str">
        <f>IF(OR(F24="",F24=0),"Kein Handlungsbedarf — weiter so!",IF(F24=1,"Kommunikationsvorlagen für die häufigsten Szenarien erstellen.",IF(F24&gt;=3,"DRINGEND: Bei einem Vorfall wissen Sie nicht, wen Sie informieren müssen. Sofort Meldepflichten (nDSG) klären und Kommunikationsplan erstellen.","Krisenkommunikationsplan (intern, Kunden, Behörden, Medien). Vorlagen für Mitteilungen. Meldepflichten gemäss nDSG kennen.")))</f>
        <v>Kein Handlungsbedarf — weiter so!</v>
      </c>
      <c r="H24" s="187" t="s">
        <v>386</v>
      </c>
      <c r="I24" s="125" t="s">
        <v>382</v>
      </c>
      <c r="J24" s="125" t="str">
        <f t="shared" si="0"/>
        <v>Nicht bewertet</v>
      </c>
      <c r="K24" s="184">
        <f t="shared" si="1"/>
        <v>4</v>
      </c>
      <c r="L24" s="184">
        <f t="shared" si="2"/>
        <v>3</v>
      </c>
      <c r="M24" s="185" t="str">
        <f t="shared" si="3"/>
        <v>—</v>
      </c>
      <c r="N24" s="125" t="str">
        <f t="shared" si="4"/>
        <v>✅ OK</v>
      </c>
    </row>
    <row r="25" spans="1:14" ht="49.5" customHeight="1" x14ac:dyDescent="0.25">
      <c r="A25" s="8"/>
      <c r="B25" s="125" t="s">
        <v>252</v>
      </c>
      <c r="C25" s="182" t="s">
        <v>403</v>
      </c>
      <c r="D25" s="125" t="str">
        <f>IF(Bewertung!F30="","—",LEFT(Bewertung!F30,1))</f>
        <v>—</v>
      </c>
      <c r="E25" s="125" t="str">
        <f>IF(Bewertung!G30="","—",LEFT(Bewertung!G30,1))</f>
        <v>—</v>
      </c>
      <c r="F25" s="183" t="str">
        <f>IF(Bewertung!H30="","",Bewertung!H30)</f>
        <v/>
      </c>
      <c r="G25" s="123" t="str">
        <f>IF(OR(F25="",F25=0),"Kein Handlungsbedarf — weiter so!",IF(F25=1,"Netzwerksegmentierung prüfen. Isolationsmöglichkeiten für kritische Systeme dokumentieren.",IF(F25&gt;=3,"DRINGEND: Schäden können sich unkontrolliert ausbreiten. Sofort Netzwerksegmentierung einführen und Isolationsprozeduren definieren.","Netzwerksegmentierung vertiefen. Kill-Switch-Prozeduren. Isolationsmöglichkeiten für kompromittierte Systeme testen.")))</f>
        <v>Kein Handlungsbedarf — weiter so!</v>
      </c>
      <c r="H25" s="125" t="s">
        <v>381</v>
      </c>
      <c r="I25" s="186" t="s">
        <v>384</v>
      </c>
      <c r="J25" s="125" t="str">
        <f t="shared" si="0"/>
        <v>Nicht bewertet</v>
      </c>
      <c r="K25" s="184">
        <f t="shared" si="1"/>
        <v>3</v>
      </c>
      <c r="L25" s="184">
        <f t="shared" si="2"/>
        <v>4</v>
      </c>
      <c r="M25" s="185" t="str">
        <f t="shared" si="3"/>
        <v>—</v>
      </c>
      <c r="N25" s="125" t="str">
        <f t="shared" si="4"/>
        <v>✅ OK</v>
      </c>
    </row>
    <row r="26" spans="1:14" ht="49.5" customHeight="1" x14ac:dyDescent="0.25">
      <c r="A26" s="8"/>
      <c r="B26" s="125" t="s">
        <v>256</v>
      </c>
      <c r="C26" s="182" t="s">
        <v>404</v>
      </c>
      <c r="D26" s="125" t="str">
        <f>IF(Bewertung!F32="","—",LEFT(Bewertung!F32,1))</f>
        <v>—</v>
      </c>
      <c r="E26" s="125" t="str">
        <f>IF(Bewertung!G32="","—",LEFT(Bewertung!G32,1))</f>
        <v>—</v>
      </c>
      <c r="F26" s="183" t="str">
        <f>IF(Bewertung!H32="","",Bewertung!H32)</f>
        <v/>
      </c>
      <c r="G26" s="123" t="str">
        <f>IF(OR(F26="",F26=0),"Kein Handlungsbedarf — weiter so!",IF(F26=1,"Nächsten Backup-Recovery-Test planen. RTO/RPO validieren.",IF(F26&gt;=3,"DRINGEND: Backups existieren evtl., sind aber ungetestet. Sofort Recovery-Test durchführen und RTO/RPO für kritische Systeme definieren.","Backup-Recovery regelmässig testen (mind. halbjährlich). RTO/RPO dokumentieren und validieren. Wiederherstellungsreihenfolge festlegen.")))</f>
        <v>Kein Handlungsbedarf — weiter so!</v>
      </c>
      <c r="H26" s="125" t="s">
        <v>381</v>
      </c>
      <c r="I26" s="186" t="s">
        <v>384</v>
      </c>
      <c r="J26" s="125" t="str">
        <f t="shared" si="0"/>
        <v>Nicht bewertet</v>
      </c>
      <c r="K26" s="184">
        <f t="shared" si="1"/>
        <v>3</v>
      </c>
      <c r="L26" s="184">
        <f t="shared" si="2"/>
        <v>4</v>
      </c>
      <c r="M26" s="185" t="str">
        <f t="shared" si="3"/>
        <v>—</v>
      </c>
      <c r="N26" s="125" t="str">
        <f t="shared" si="4"/>
        <v>✅ OK</v>
      </c>
    </row>
    <row r="27" spans="1:14" ht="49.5" customHeight="1" x14ac:dyDescent="0.25">
      <c r="A27" s="8"/>
      <c r="B27" s="125" t="s">
        <v>259</v>
      </c>
      <c r="C27" s="182" t="s">
        <v>405</v>
      </c>
      <c r="D27" s="125" t="str">
        <f>IF(Bewertung!F33="","—",LEFT(Bewertung!F33,1))</f>
        <v>—</v>
      </c>
      <c r="E27" s="125" t="str">
        <f>IF(Bewertung!G33="","—",LEFT(Bewertung!G33,1))</f>
        <v>—</v>
      </c>
      <c r="F27" s="183" t="str">
        <f>IF(Bewertung!H33="","",Bewertung!H33)</f>
        <v/>
      </c>
      <c r="G27" s="123" t="str">
        <f>IF(OR(F27="",F27=0),"Kein Handlungsbedarf — weiter so!",IF(F27=1,"Status-Update-Rhythmus für Wiederherstellungsphase definieren.",IF(F27&gt;=3,"DRINGEND: Stakeholder bleiben bei einem Ausfall im Dunkeln. Sofort Kommunikationsplan und Update-Rhythmus für Recovery-Phase definieren.","Kommunikationsplan für Recovery-Phase. Status-Update-Rhythmus (z.B. alle 4h). Stakeholder-Erwartungsmanagement.")))</f>
        <v>Kein Handlungsbedarf — weiter so!</v>
      </c>
      <c r="H27" s="187" t="s">
        <v>386</v>
      </c>
      <c r="I27" s="125" t="s">
        <v>381</v>
      </c>
      <c r="J27" s="125" t="str">
        <f t="shared" si="0"/>
        <v>Nicht bewertet</v>
      </c>
      <c r="K27" s="184">
        <f t="shared" si="1"/>
        <v>4</v>
      </c>
      <c r="L27" s="184">
        <f t="shared" si="2"/>
        <v>2</v>
      </c>
      <c r="M27" s="185" t="str">
        <f t="shared" si="3"/>
        <v>—</v>
      </c>
      <c r="N27" s="125" t="str">
        <f t="shared" si="4"/>
        <v>✅ OK</v>
      </c>
    </row>
    <row r="29" spans="1:14" ht="15" customHeight="1" x14ac:dyDescent="0.25">
      <c r="B29" s="11" t="s">
        <v>406</v>
      </c>
    </row>
    <row r="30" spans="1:14" ht="17.25" customHeight="1" x14ac:dyDescent="0.25">
      <c r="B30" s="147" t="s">
        <v>407</v>
      </c>
      <c r="E30" s="189">
        <f>COUNTIF(J6:J27,"*SOFORT*")</f>
        <v>0</v>
      </c>
      <c r="F30" s="14" t="s">
        <v>408</v>
      </c>
    </row>
    <row r="31" spans="1:14" ht="17.25" customHeight="1" x14ac:dyDescent="0.25">
      <c r="B31" s="146" t="s">
        <v>409</v>
      </c>
      <c r="E31" s="190">
        <f>COUNTIF(J6:J27,"*Dringend*")</f>
        <v>0</v>
      </c>
      <c r="F31" s="14" t="s">
        <v>408</v>
      </c>
    </row>
    <row r="32" spans="1:14" ht="17.25" customHeight="1" x14ac:dyDescent="0.25">
      <c r="B32" s="191" t="s">
        <v>410</v>
      </c>
      <c r="E32" s="192">
        <f>COUNTIF(J6:J27,"*Geplant*")</f>
        <v>0</v>
      </c>
      <c r="F32" s="14" t="s">
        <v>408</v>
      </c>
    </row>
    <row r="33" spans="2:13" ht="17.25" customHeight="1" x14ac:dyDescent="0.25">
      <c r="B33" s="145" t="s">
        <v>411</v>
      </c>
      <c r="E33" s="193">
        <f>COUNTIF(J6:J27,"*OK*")</f>
        <v>0</v>
      </c>
      <c r="F33" s="14" t="s">
        <v>408</v>
      </c>
    </row>
    <row r="36" spans="2:13" ht="15" customHeight="1" x14ac:dyDescent="0.3">
      <c r="B36" s="98" t="s">
        <v>412</v>
      </c>
    </row>
    <row r="37" spans="2:13" ht="15" customHeight="1" x14ac:dyDescent="0.25">
      <c r="B37" s="13" t="s">
        <v>413</v>
      </c>
    </row>
    <row r="38" spans="2:13" ht="15" customHeight="1" x14ac:dyDescent="0.25">
      <c r="B38" s="13" t="s">
        <v>414</v>
      </c>
    </row>
    <row r="39" spans="2:13" ht="15" customHeight="1" x14ac:dyDescent="0.25">
      <c r="B39" s="13"/>
    </row>
    <row r="40" spans="2:13" ht="15" customHeight="1" x14ac:dyDescent="0.25">
      <c r="B40" s="82" t="s">
        <v>415</v>
      </c>
    </row>
    <row r="41" spans="2:13" ht="15" customHeight="1" x14ac:dyDescent="0.25">
      <c r="C41" s="76" t="s">
        <v>416</v>
      </c>
      <c r="D41" s="76" t="s">
        <v>417</v>
      </c>
    </row>
    <row r="42" spans="2:13" s="181" customFormat="1" ht="25.5" customHeight="1" x14ac:dyDescent="0.25">
      <c r="B42" s="194" t="s">
        <v>418</v>
      </c>
      <c r="C42" s="195" t="s">
        <v>419</v>
      </c>
      <c r="D42" s="196" t="s">
        <v>420</v>
      </c>
      <c r="K42" s="197"/>
      <c r="L42" s="197"/>
      <c r="M42" s="197"/>
    </row>
    <row r="43" spans="2:13" s="181" customFormat="1" ht="25.5" customHeight="1" x14ac:dyDescent="0.25">
      <c r="B43" s="194" t="s">
        <v>421</v>
      </c>
      <c r="C43" s="198" t="s">
        <v>422</v>
      </c>
      <c r="D43" s="199" t="s">
        <v>423</v>
      </c>
      <c r="K43" s="197"/>
      <c r="L43" s="197"/>
      <c r="M43" s="197"/>
    </row>
    <row r="46" spans="2:13" ht="15" customHeight="1" x14ac:dyDescent="0.25">
      <c r="B46" s="82" t="s">
        <v>424</v>
      </c>
    </row>
    <row r="47" spans="2:13" ht="15" customHeight="1" x14ac:dyDescent="0.25">
      <c r="B47" s="8" t="s">
        <v>425</v>
      </c>
      <c r="D47" s="37">
        <f>COUNTIF(N6:N27,"*Quick Win*")</f>
        <v>0</v>
      </c>
      <c r="E47" s="14" t="s">
        <v>408</v>
      </c>
    </row>
    <row r="48" spans="2:13" ht="15" customHeight="1" x14ac:dyDescent="0.25">
      <c r="B48" s="8" t="s">
        <v>426</v>
      </c>
      <c r="D48" s="37">
        <f>COUNTIF(N6:N27,"*Strategisch*")</f>
        <v>0</v>
      </c>
      <c r="E48" s="14" t="s">
        <v>408</v>
      </c>
    </row>
    <row r="49" spans="2:5" ht="15" customHeight="1" x14ac:dyDescent="0.25">
      <c r="B49" s="8" t="s">
        <v>427</v>
      </c>
      <c r="D49" s="37">
        <f>COUNTIF(N6:N27,"*Kleine Verbesserung*")</f>
        <v>0</v>
      </c>
      <c r="E49" s="14" t="s">
        <v>408</v>
      </c>
    </row>
    <row r="50" spans="2:5" ht="15" customHeight="1" x14ac:dyDescent="0.25">
      <c r="B50" s="8" t="s">
        <v>428</v>
      </c>
      <c r="D50" s="37">
        <f>COUNTIF(N6:N27,"*Aufwändig*")</f>
        <v>0</v>
      </c>
      <c r="E50" s="14" t="s">
        <v>408</v>
      </c>
    </row>
    <row r="51" spans="2:5" ht="15" customHeight="1" x14ac:dyDescent="0.25">
      <c r="B51" s="8" t="s">
        <v>429</v>
      </c>
      <c r="D51" s="37">
        <f>COUNTIF(N6:N27,"*OK*")</f>
        <v>22</v>
      </c>
      <c r="E51" s="14" t="s">
        <v>408</v>
      </c>
    </row>
    <row r="53" spans="2:5" ht="15" customHeight="1" x14ac:dyDescent="0.25">
      <c r="B53" s="177" t="s">
        <v>430</v>
      </c>
    </row>
    <row r="54" spans="2:5" ht="15" customHeight="1" x14ac:dyDescent="0.25">
      <c r="B54" s="177" t="s">
        <v>431</v>
      </c>
    </row>
  </sheetData>
  <mergeCells count="2">
    <mergeCell ref="B2:J2"/>
    <mergeCell ref="B3:J3"/>
  </mergeCells>
  <conditionalFormatting sqref="J6:J27">
    <cfRule type="expression" dxfId="10" priority="7">
      <formula>SEARCH("SOFORT",J6)&gt;0</formula>
    </cfRule>
    <cfRule type="expression" dxfId="9" priority="8">
      <formula>SEARCH("Dringend",J6)&gt;0</formula>
    </cfRule>
    <cfRule type="expression" dxfId="8" priority="9">
      <formula>SEARCH("Demnächst",J6)&gt;0</formula>
    </cfRule>
    <cfRule type="expression" dxfId="7" priority="10">
      <formula>SEARCH("OK",J6)&gt;0</formula>
    </cfRule>
  </conditionalFormatting>
  <conditionalFormatting sqref="N6:N27">
    <cfRule type="expression" dxfId="6" priority="2">
      <formula>SEARCH("Quick Win",N6)&gt;0</formula>
    </cfRule>
    <cfRule type="expression" dxfId="5" priority="3">
      <formula>SEARCH("Strategisch",N6)&gt;0</formula>
    </cfRule>
    <cfRule type="expression" dxfId="4" priority="4">
      <formula>SEARCH("Kleine Verbesserung",N6)&gt;0</formula>
    </cfRule>
    <cfRule type="expression" dxfId="3" priority="5">
      <formula>NOT(ISERROR(SEARCH("Aufwändig",N6)))</formula>
    </cfRule>
    <cfRule type="expression" dxfId="2" priority="6">
      <formula>SEARCH("OK",N6)&gt;0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91"/>
  <sheetViews>
    <sheetView zoomScaleNormal="100" workbookViewId="0">
      <selection activeCell="C94" sqref="C94"/>
    </sheetView>
  </sheetViews>
  <sheetFormatPr baseColWidth="10" defaultColWidth="9.140625" defaultRowHeight="15" x14ac:dyDescent="0.25"/>
  <cols>
    <col min="1" max="1" width="2" style="181" customWidth="1"/>
    <col min="2" max="2" width="10" style="181" customWidth="1"/>
    <col min="3" max="3" width="22" style="181" customWidth="1"/>
    <col min="4" max="4" width="6" style="181" customWidth="1"/>
    <col min="5" max="5" width="26.140625" style="181" customWidth="1"/>
    <col min="6" max="6" width="49" style="181" customWidth="1"/>
    <col min="7" max="7" width="18" style="181" customWidth="1"/>
    <col min="8" max="9" width="14" style="181" customWidth="1"/>
    <col min="10" max="16384" width="9.140625" style="181"/>
  </cols>
  <sheetData>
    <row r="2" spans="2:9" ht="21" customHeight="1" x14ac:dyDescent="0.25">
      <c r="B2" s="200" t="s">
        <v>432</v>
      </c>
    </row>
    <row r="3" spans="2:9" ht="15" customHeight="1" x14ac:dyDescent="0.25">
      <c r="B3" s="201" t="s">
        <v>433</v>
      </c>
    </row>
    <row r="6" spans="2:9" ht="15.75" customHeight="1" x14ac:dyDescent="0.25">
      <c r="B6" s="202" t="s">
        <v>434</v>
      </c>
      <c r="C6" s="203"/>
      <c r="D6" s="203"/>
      <c r="E6" s="203"/>
      <c r="F6" s="203"/>
      <c r="G6" s="203"/>
      <c r="H6" s="203"/>
      <c r="I6" s="203"/>
    </row>
    <row r="7" spans="2:9" ht="15" customHeight="1" x14ac:dyDescent="0.25">
      <c r="B7" s="201" t="s">
        <v>435</v>
      </c>
    </row>
    <row r="8" spans="2:9" ht="15" customHeight="1" x14ac:dyDescent="0.25">
      <c r="B8" s="204" t="s">
        <v>171</v>
      </c>
      <c r="C8" s="204" t="s">
        <v>172</v>
      </c>
      <c r="D8" s="204" t="s">
        <v>103</v>
      </c>
      <c r="E8" s="204" t="s">
        <v>173</v>
      </c>
      <c r="F8" s="204" t="s">
        <v>436</v>
      </c>
      <c r="G8" s="204" t="s">
        <v>437</v>
      </c>
      <c r="H8" s="204" t="s">
        <v>438</v>
      </c>
      <c r="I8" s="204" t="s">
        <v>439</v>
      </c>
    </row>
    <row r="9" spans="2:9" ht="48" customHeight="1" x14ac:dyDescent="0.25">
      <c r="B9" s="119" t="str">
        <f>IF(AND(Empfehlungen!K6&gt;=3,Empfehlungen!F6&lt;&gt;"",Empfehlungen!F6&gt;0),Empfehlungen!B6,"")</f>
        <v/>
      </c>
      <c r="C9" s="205" t="str">
        <f>IF(AND(Empfehlungen!K6&gt;=3,Empfehlungen!F6&lt;&gt;"",Empfehlungen!F6&gt;0),Empfehlungen!C6,"")</f>
        <v/>
      </c>
      <c r="D9" s="206" t="str">
        <f>IF(AND(Empfehlungen!K6&gt;=3,Empfehlungen!F6&lt;&gt;"",Empfehlungen!F6&gt;0),Empfehlungen!F6,"")</f>
        <v/>
      </c>
      <c r="E9" s="206" t="str">
        <f>IF(AND(Empfehlungen!K6&gt;=3,Empfehlungen!F6&lt;&gt;"",Empfehlungen!F6&gt;0),Empfehlungen!N6,"")</f>
        <v/>
      </c>
      <c r="F9" s="121" t="str">
        <f>IF(AND(Empfehlungen!K6&gt;=3,Empfehlungen!F6&lt;&gt;"",Empfehlungen!F6&gt;0),Empfehlungen!G6,"")</f>
        <v/>
      </c>
      <c r="G9" s="207"/>
      <c r="H9" s="207"/>
      <c r="I9" s="207"/>
    </row>
    <row r="10" spans="2:9" ht="24" customHeight="1" x14ac:dyDescent="0.25">
      <c r="B10" s="119" t="str">
        <f>IF(AND(Empfehlungen!K7&gt;=3,Empfehlungen!F7&lt;&gt;"",Empfehlungen!F7&gt;0),Empfehlungen!B7,"")</f>
        <v/>
      </c>
      <c r="C10" s="205" t="str">
        <f>IF(AND(Empfehlungen!K7&gt;=3,Empfehlungen!F7&lt;&gt;"",Empfehlungen!F7&gt;0),Empfehlungen!C7,"")</f>
        <v/>
      </c>
      <c r="D10" s="206" t="str">
        <f>IF(AND(Empfehlungen!K7&gt;=3,Empfehlungen!F7&lt;&gt;"",Empfehlungen!F7&gt;0),Empfehlungen!F7,"")</f>
        <v/>
      </c>
      <c r="E10" s="206" t="str">
        <f>IF(AND(Empfehlungen!K7&gt;=3,Empfehlungen!F7&lt;&gt;"",Empfehlungen!F7&gt;0),Empfehlungen!N7,"")</f>
        <v/>
      </c>
      <c r="F10" s="121" t="str">
        <f>IF(AND(Empfehlungen!K7&gt;=3,Empfehlungen!F7&lt;&gt;"",Empfehlungen!F7&gt;0),Empfehlungen!G7,"")</f>
        <v/>
      </c>
      <c r="G10" s="207"/>
      <c r="H10" s="207"/>
      <c r="I10" s="207"/>
    </row>
    <row r="11" spans="2:9" ht="36" customHeight="1" x14ac:dyDescent="0.25">
      <c r="B11" s="119" t="str">
        <f>IF(AND(Empfehlungen!K8&gt;=3,Empfehlungen!F8&lt;&gt;"",Empfehlungen!F8&gt;0),Empfehlungen!B8,"")</f>
        <v/>
      </c>
      <c r="C11" s="205" t="str">
        <f>IF(AND(Empfehlungen!K8&gt;=3,Empfehlungen!F8&lt;&gt;"",Empfehlungen!F8&gt;0),Empfehlungen!C8,"")</f>
        <v/>
      </c>
      <c r="D11" s="206" t="str">
        <f>IF(AND(Empfehlungen!K8&gt;=3,Empfehlungen!F8&lt;&gt;"",Empfehlungen!F8&gt;0),Empfehlungen!F8,"")</f>
        <v/>
      </c>
      <c r="E11" s="206" t="str">
        <f>IF(AND(Empfehlungen!K8&gt;=3,Empfehlungen!F8&lt;&gt;"",Empfehlungen!F8&gt;0),Empfehlungen!N8,"")</f>
        <v/>
      </c>
      <c r="F11" s="121" t="str">
        <f>IF(AND(Empfehlungen!K8&gt;=3,Empfehlungen!F8&lt;&gt;"",Empfehlungen!F8&gt;0),Empfehlungen!G8,"")</f>
        <v/>
      </c>
      <c r="G11" s="207"/>
      <c r="H11" s="207"/>
      <c r="I11" s="207"/>
    </row>
    <row r="12" spans="2:9" ht="36" customHeight="1" x14ac:dyDescent="0.25">
      <c r="B12" s="119" t="str">
        <f>IF(AND(Empfehlungen!K9&gt;=3,Empfehlungen!F9&lt;&gt;"",Empfehlungen!F9&gt;0),Empfehlungen!B9,"")</f>
        <v/>
      </c>
      <c r="C12" s="205" t="str">
        <f>IF(AND(Empfehlungen!K9&gt;=3,Empfehlungen!F9&lt;&gt;"",Empfehlungen!F9&gt;0),Empfehlungen!C9,"")</f>
        <v/>
      </c>
      <c r="D12" s="206" t="str">
        <f>IF(AND(Empfehlungen!K9&gt;=3,Empfehlungen!F9&lt;&gt;"",Empfehlungen!F9&gt;0),Empfehlungen!F9,"")</f>
        <v/>
      </c>
      <c r="E12" s="206" t="str">
        <f>IF(AND(Empfehlungen!K9&gt;=3,Empfehlungen!F9&lt;&gt;"",Empfehlungen!F9&gt;0),Empfehlungen!N9,"")</f>
        <v/>
      </c>
      <c r="F12" s="121" t="str">
        <f>IF(AND(Empfehlungen!K9&gt;=3,Empfehlungen!F9&lt;&gt;"",Empfehlungen!F9&gt;0),Empfehlungen!G9,"")</f>
        <v/>
      </c>
      <c r="G12" s="207"/>
      <c r="H12" s="207"/>
      <c r="I12" s="207"/>
    </row>
    <row r="13" spans="2:9" ht="24" customHeight="1" x14ac:dyDescent="0.25">
      <c r="B13" s="119" t="str">
        <f>IF(AND(Empfehlungen!K10&gt;=3,Empfehlungen!F10&lt;&gt;"",Empfehlungen!F10&gt;0),Empfehlungen!B10,"")</f>
        <v/>
      </c>
      <c r="C13" s="205" t="str">
        <f>IF(AND(Empfehlungen!K10&gt;=3,Empfehlungen!F10&lt;&gt;"",Empfehlungen!F10&gt;0),Empfehlungen!C10,"")</f>
        <v/>
      </c>
      <c r="D13" s="206" t="str">
        <f>IF(AND(Empfehlungen!K10&gt;=3,Empfehlungen!F10&lt;&gt;"",Empfehlungen!F10&gt;0),Empfehlungen!F10,"")</f>
        <v/>
      </c>
      <c r="E13" s="206" t="str">
        <f>IF(AND(Empfehlungen!K10&gt;=3,Empfehlungen!F10&lt;&gt;"",Empfehlungen!F10&gt;0),Empfehlungen!N10,"")</f>
        <v/>
      </c>
      <c r="F13" s="121" t="str">
        <f>IF(AND(Empfehlungen!K10&gt;=3,Empfehlungen!F10&lt;&gt;"",Empfehlungen!F10&gt;0),Empfehlungen!G10,"")</f>
        <v/>
      </c>
      <c r="G13" s="207"/>
      <c r="H13" s="207"/>
      <c r="I13" s="207"/>
    </row>
    <row r="14" spans="2:9" ht="24" customHeight="1" x14ac:dyDescent="0.25">
      <c r="B14" s="119" t="str">
        <f>IF(AND(Empfehlungen!K11&gt;=3,Empfehlungen!F11&lt;&gt;"",Empfehlungen!F11&gt;0),Empfehlungen!B11,"")</f>
        <v/>
      </c>
      <c r="C14" s="205" t="str">
        <f>IF(AND(Empfehlungen!K11&gt;=3,Empfehlungen!F11&lt;&gt;"",Empfehlungen!F11&gt;0),Empfehlungen!C11,"")</f>
        <v/>
      </c>
      <c r="D14" s="206" t="str">
        <f>IF(AND(Empfehlungen!K11&gt;=3,Empfehlungen!F11&lt;&gt;"",Empfehlungen!F11&gt;0),Empfehlungen!F11,"")</f>
        <v/>
      </c>
      <c r="E14" s="206" t="str">
        <f>IF(AND(Empfehlungen!K11&gt;=3,Empfehlungen!F11&lt;&gt;"",Empfehlungen!F11&gt;0),Empfehlungen!N11,"")</f>
        <v/>
      </c>
      <c r="F14" s="121" t="str">
        <f>IF(AND(Empfehlungen!K11&gt;=3,Empfehlungen!F11&lt;&gt;"",Empfehlungen!F11&gt;0),Empfehlungen!G11,"")</f>
        <v/>
      </c>
      <c r="G14" s="207"/>
      <c r="H14" s="207"/>
      <c r="I14" s="207"/>
    </row>
    <row r="15" spans="2:9" ht="36" customHeight="1" x14ac:dyDescent="0.25">
      <c r="B15" s="119" t="str">
        <f>IF(AND(Empfehlungen!K12&gt;=3,Empfehlungen!F12&lt;&gt;"",Empfehlungen!F12&gt;0),Empfehlungen!B12,"")</f>
        <v/>
      </c>
      <c r="C15" s="205" t="str">
        <f>IF(AND(Empfehlungen!K12&gt;=3,Empfehlungen!F12&lt;&gt;"",Empfehlungen!F12&gt;0),Empfehlungen!C12,"")</f>
        <v/>
      </c>
      <c r="D15" s="206" t="str">
        <f>IF(AND(Empfehlungen!K12&gt;=3,Empfehlungen!F12&lt;&gt;"",Empfehlungen!F12&gt;0),Empfehlungen!F12,"")</f>
        <v/>
      </c>
      <c r="E15" s="206" t="str">
        <f>IF(AND(Empfehlungen!K12&gt;=3,Empfehlungen!F12&lt;&gt;"",Empfehlungen!F12&gt;0),Empfehlungen!N12,"")</f>
        <v/>
      </c>
      <c r="F15" s="121" t="str">
        <f>IF(AND(Empfehlungen!K12&gt;=3,Empfehlungen!F12&lt;&gt;"",Empfehlungen!F12&gt;0),Empfehlungen!G12,"")</f>
        <v/>
      </c>
      <c r="G15" s="207"/>
      <c r="H15" s="207"/>
      <c r="I15" s="207"/>
    </row>
    <row r="16" spans="2:9" ht="15" customHeight="1" x14ac:dyDescent="0.25">
      <c r="B16" s="119" t="str">
        <f>IF(AND(Empfehlungen!K13&gt;=3,Empfehlungen!F13&lt;&gt;"",Empfehlungen!F13&gt;0),Empfehlungen!B13,"")</f>
        <v/>
      </c>
      <c r="C16" s="205" t="str">
        <f>IF(AND(Empfehlungen!K13&gt;=3,Empfehlungen!F13&lt;&gt;"",Empfehlungen!F13&gt;0),Empfehlungen!C13,"")</f>
        <v/>
      </c>
      <c r="D16" s="206" t="str">
        <f>IF(AND(Empfehlungen!K13&gt;=3,Empfehlungen!F13&lt;&gt;"",Empfehlungen!F13&gt;0),Empfehlungen!F13,"")</f>
        <v/>
      </c>
      <c r="E16" s="206" t="str">
        <f>IF(AND(Empfehlungen!K13&gt;=3,Empfehlungen!F13&lt;&gt;"",Empfehlungen!F13&gt;0),Empfehlungen!N13,"")</f>
        <v/>
      </c>
      <c r="F16" s="121" t="str">
        <f>IF(AND(Empfehlungen!K13&gt;=3,Empfehlungen!F13&lt;&gt;"",Empfehlungen!F13&gt;0),Empfehlungen!G13,"")</f>
        <v/>
      </c>
      <c r="G16" s="207"/>
      <c r="H16" s="207"/>
      <c r="I16" s="207"/>
    </row>
    <row r="17" spans="2:9" ht="24" customHeight="1" x14ac:dyDescent="0.25">
      <c r="B17" s="119" t="str">
        <f>IF(AND(Empfehlungen!K14&gt;=3,Empfehlungen!F14&lt;&gt;"",Empfehlungen!F14&gt;0),Empfehlungen!B14,"")</f>
        <v/>
      </c>
      <c r="C17" s="205" t="str">
        <f>IF(AND(Empfehlungen!K14&gt;=3,Empfehlungen!F14&lt;&gt;"",Empfehlungen!F14&gt;0),Empfehlungen!C14,"")</f>
        <v/>
      </c>
      <c r="D17" s="206" t="str">
        <f>IF(AND(Empfehlungen!K14&gt;=3,Empfehlungen!F14&lt;&gt;"",Empfehlungen!F14&gt;0),Empfehlungen!F14,"")</f>
        <v/>
      </c>
      <c r="E17" s="206" t="str">
        <f>IF(AND(Empfehlungen!K14&gt;=3,Empfehlungen!F14&lt;&gt;"",Empfehlungen!F14&gt;0),Empfehlungen!N14,"")</f>
        <v/>
      </c>
      <c r="F17" s="121" t="str">
        <f>IF(AND(Empfehlungen!K14&gt;=3,Empfehlungen!F14&lt;&gt;"",Empfehlungen!F14&gt;0),Empfehlungen!G14,"")</f>
        <v/>
      </c>
      <c r="G17" s="207"/>
      <c r="H17" s="207"/>
      <c r="I17" s="207"/>
    </row>
    <row r="18" spans="2:9" ht="36" customHeight="1" x14ac:dyDescent="0.25">
      <c r="B18" s="119" t="str">
        <f>IF(AND(Empfehlungen!K15&gt;=3,Empfehlungen!F15&lt;&gt;"",Empfehlungen!F15&gt;0),Empfehlungen!B15,"")</f>
        <v/>
      </c>
      <c r="C18" s="205" t="str">
        <f>IF(AND(Empfehlungen!K15&gt;=3,Empfehlungen!F15&lt;&gt;"",Empfehlungen!F15&gt;0),Empfehlungen!C15,"")</f>
        <v/>
      </c>
      <c r="D18" s="206" t="str">
        <f>IF(AND(Empfehlungen!K15&gt;=3,Empfehlungen!F15&lt;&gt;"",Empfehlungen!F15&gt;0),Empfehlungen!F15,"")</f>
        <v/>
      </c>
      <c r="E18" s="206" t="str">
        <f>IF(AND(Empfehlungen!K15&gt;=3,Empfehlungen!F15&lt;&gt;"",Empfehlungen!F15&gt;0),Empfehlungen!N15,"")</f>
        <v/>
      </c>
      <c r="F18" s="121" t="str">
        <f>IF(AND(Empfehlungen!K15&gt;=3,Empfehlungen!F15&lt;&gt;"",Empfehlungen!F15&gt;0),Empfehlungen!G15,"")</f>
        <v/>
      </c>
      <c r="G18" s="207"/>
      <c r="H18" s="207"/>
      <c r="I18" s="207"/>
    </row>
    <row r="19" spans="2:9" ht="36" customHeight="1" x14ac:dyDescent="0.25">
      <c r="B19" s="119" t="str">
        <f>IF(AND(Empfehlungen!K16&gt;=3,Empfehlungen!F16&lt;&gt;"",Empfehlungen!F16&gt;0),Empfehlungen!B16,"")</f>
        <v/>
      </c>
      <c r="C19" s="205" t="str">
        <f>IF(AND(Empfehlungen!K16&gt;=3,Empfehlungen!F16&lt;&gt;"",Empfehlungen!F16&gt;0),Empfehlungen!C16,"")</f>
        <v/>
      </c>
      <c r="D19" s="206" t="str">
        <f>IF(AND(Empfehlungen!K16&gt;=3,Empfehlungen!F16&lt;&gt;"",Empfehlungen!F16&gt;0),Empfehlungen!F16,"")</f>
        <v/>
      </c>
      <c r="E19" s="206" t="str">
        <f>IF(AND(Empfehlungen!K16&gt;=3,Empfehlungen!F16&lt;&gt;"",Empfehlungen!F16&gt;0),Empfehlungen!N16,"")</f>
        <v/>
      </c>
      <c r="F19" s="121" t="str">
        <f>IF(AND(Empfehlungen!K16&gt;=3,Empfehlungen!F16&lt;&gt;"",Empfehlungen!F16&gt;0),Empfehlungen!G16,"")</f>
        <v/>
      </c>
      <c r="G19" s="207"/>
      <c r="H19" s="207"/>
      <c r="I19" s="207"/>
    </row>
    <row r="20" spans="2:9" ht="24" customHeight="1" x14ac:dyDescent="0.25">
      <c r="B20" s="119" t="str">
        <f>IF(AND(Empfehlungen!K17&gt;=3,Empfehlungen!F17&lt;&gt;"",Empfehlungen!F17&gt;0),Empfehlungen!B17,"")</f>
        <v/>
      </c>
      <c r="C20" s="205" t="str">
        <f>IF(AND(Empfehlungen!K17&gt;=3,Empfehlungen!F17&lt;&gt;"",Empfehlungen!F17&gt;0),Empfehlungen!C17,"")</f>
        <v/>
      </c>
      <c r="D20" s="206" t="str">
        <f>IF(AND(Empfehlungen!K17&gt;=3,Empfehlungen!F17&lt;&gt;"",Empfehlungen!F17&gt;0),Empfehlungen!F17,"")</f>
        <v/>
      </c>
      <c r="E20" s="206" t="str">
        <f>IF(AND(Empfehlungen!K17&gt;=3,Empfehlungen!F17&lt;&gt;"",Empfehlungen!F17&gt;0),Empfehlungen!N17,"")</f>
        <v/>
      </c>
      <c r="F20" s="121" t="str">
        <f>IF(AND(Empfehlungen!K17&gt;=3,Empfehlungen!F17&lt;&gt;"",Empfehlungen!F17&gt;0),Empfehlungen!G17,"")</f>
        <v/>
      </c>
      <c r="G20" s="207"/>
      <c r="H20" s="207"/>
      <c r="I20" s="207"/>
    </row>
    <row r="21" spans="2:9" ht="24" customHeight="1" x14ac:dyDescent="0.25">
      <c r="B21" s="119" t="str">
        <f>IF(AND(Empfehlungen!K18&gt;=3,Empfehlungen!F18&lt;&gt;"",Empfehlungen!F18&gt;0),Empfehlungen!B18,"")</f>
        <v/>
      </c>
      <c r="C21" s="205" t="str">
        <f>IF(AND(Empfehlungen!K18&gt;=3,Empfehlungen!F18&lt;&gt;"",Empfehlungen!F18&gt;0),Empfehlungen!C18,"")</f>
        <v/>
      </c>
      <c r="D21" s="206" t="str">
        <f>IF(AND(Empfehlungen!K18&gt;=3,Empfehlungen!F18&lt;&gt;"",Empfehlungen!F18&gt;0),Empfehlungen!F18,"")</f>
        <v/>
      </c>
      <c r="E21" s="206" t="str">
        <f>IF(AND(Empfehlungen!K18&gt;=3,Empfehlungen!F18&lt;&gt;"",Empfehlungen!F18&gt;0),Empfehlungen!N18,"")</f>
        <v/>
      </c>
      <c r="F21" s="121" t="str">
        <f>IF(AND(Empfehlungen!K18&gt;=3,Empfehlungen!F18&lt;&gt;"",Empfehlungen!F18&gt;0),Empfehlungen!G18,"")</f>
        <v/>
      </c>
      <c r="G21" s="207"/>
      <c r="H21" s="207"/>
      <c r="I21" s="207"/>
    </row>
    <row r="22" spans="2:9" ht="15" customHeight="1" x14ac:dyDescent="0.25">
      <c r="B22" s="119" t="str">
        <f>IF(AND(Empfehlungen!K19&gt;=3,Empfehlungen!F19&lt;&gt;"",Empfehlungen!F19&gt;0),Empfehlungen!B19,"")</f>
        <v/>
      </c>
      <c r="C22" s="205" t="str">
        <f>IF(AND(Empfehlungen!K19&gt;=3,Empfehlungen!F19&lt;&gt;"",Empfehlungen!F19&gt;0),Empfehlungen!C19,"")</f>
        <v/>
      </c>
      <c r="D22" s="206" t="str">
        <f>IF(AND(Empfehlungen!K19&gt;=3,Empfehlungen!F19&lt;&gt;"",Empfehlungen!F19&gt;0),Empfehlungen!F19,"")</f>
        <v/>
      </c>
      <c r="E22" s="206" t="str">
        <f>IF(AND(Empfehlungen!K19&gt;=3,Empfehlungen!F19&lt;&gt;"",Empfehlungen!F19&gt;0),Empfehlungen!N19,"")</f>
        <v/>
      </c>
      <c r="F22" s="121" t="str">
        <f>IF(AND(Empfehlungen!K19&gt;=3,Empfehlungen!F19&lt;&gt;"",Empfehlungen!F19&gt;0),Empfehlungen!G19,"")</f>
        <v/>
      </c>
      <c r="G22" s="207"/>
      <c r="H22" s="207"/>
      <c r="I22" s="207"/>
    </row>
    <row r="23" spans="2:9" ht="15" customHeight="1" x14ac:dyDescent="0.25">
      <c r="B23" s="119" t="str">
        <f>IF(AND(Empfehlungen!K20&gt;=3,Empfehlungen!F20&lt;&gt;"",Empfehlungen!F20&gt;0),Empfehlungen!B20,"")</f>
        <v/>
      </c>
      <c r="C23" s="205" t="str">
        <f>IF(AND(Empfehlungen!K20&gt;=3,Empfehlungen!F20&lt;&gt;"",Empfehlungen!F20&gt;0),Empfehlungen!C20,"")</f>
        <v/>
      </c>
      <c r="D23" s="206" t="str">
        <f>IF(AND(Empfehlungen!K20&gt;=3,Empfehlungen!F20&lt;&gt;"",Empfehlungen!F20&gt;0),Empfehlungen!F20,"")</f>
        <v/>
      </c>
      <c r="E23" s="206" t="str">
        <f>IF(AND(Empfehlungen!K20&gt;=3,Empfehlungen!F20&lt;&gt;"",Empfehlungen!F20&gt;0),Empfehlungen!N20,"")</f>
        <v/>
      </c>
      <c r="F23" s="121" t="str">
        <f>IF(AND(Empfehlungen!K20&gt;=3,Empfehlungen!F20&lt;&gt;"",Empfehlungen!F20&gt;0),Empfehlungen!G20,"")</f>
        <v/>
      </c>
      <c r="G23" s="207"/>
      <c r="H23" s="207"/>
      <c r="I23" s="207"/>
    </row>
    <row r="24" spans="2:9" ht="36" customHeight="1" x14ac:dyDescent="0.25">
      <c r="B24" s="119" t="str">
        <f>IF(AND(Empfehlungen!K21&gt;=3,Empfehlungen!F21&lt;&gt;"",Empfehlungen!F21&gt;0),Empfehlungen!B21,"")</f>
        <v/>
      </c>
      <c r="C24" s="205" t="str">
        <f>IF(AND(Empfehlungen!K21&gt;=3,Empfehlungen!F21&lt;&gt;"",Empfehlungen!F21&gt;0),Empfehlungen!C21,"")</f>
        <v/>
      </c>
      <c r="D24" s="206" t="str">
        <f>IF(AND(Empfehlungen!K21&gt;=3,Empfehlungen!F21&lt;&gt;"",Empfehlungen!F21&gt;0),Empfehlungen!F21,"")</f>
        <v/>
      </c>
      <c r="E24" s="206" t="str">
        <f>IF(AND(Empfehlungen!K21&gt;=3,Empfehlungen!F21&lt;&gt;"",Empfehlungen!F21&gt;0),Empfehlungen!N21,"")</f>
        <v/>
      </c>
      <c r="F24" s="121" t="str">
        <f>IF(AND(Empfehlungen!K21&gt;=3,Empfehlungen!F21&lt;&gt;"",Empfehlungen!F21&gt;0),Empfehlungen!G21,"")</f>
        <v/>
      </c>
      <c r="G24" s="207"/>
      <c r="H24" s="207"/>
      <c r="I24" s="207"/>
    </row>
    <row r="25" spans="2:9" ht="36" customHeight="1" x14ac:dyDescent="0.25">
      <c r="B25" s="119" t="str">
        <f>IF(AND(Empfehlungen!K22&gt;=3,Empfehlungen!F22&lt;&gt;"",Empfehlungen!F22&gt;0),Empfehlungen!B22,"")</f>
        <v/>
      </c>
      <c r="C25" s="205" t="str">
        <f>IF(AND(Empfehlungen!K22&gt;=3,Empfehlungen!F22&lt;&gt;"",Empfehlungen!F22&gt;0),Empfehlungen!C22,"")</f>
        <v/>
      </c>
      <c r="D25" s="206" t="str">
        <f>IF(AND(Empfehlungen!K22&gt;=3,Empfehlungen!F22&lt;&gt;"",Empfehlungen!F22&gt;0),Empfehlungen!F22,"")</f>
        <v/>
      </c>
      <c r="E25" s="206" t="str">
        <f>IF(AND(Empfehlungen!K22&gt;=3,Empfehlungen!F22&lt;&gt;"",Empfehlungen!F22&gt;0),Empfehlungen!N22,"")</f>
        <v/>
      </c>
      <c r="F25" s="121" t="str">
        <f>IF(AND(Empfehlungen!K22&gt;=3,Empfehlungen!F22&lt;&gt;"",Empfehlungen!F22&gt;0),Empfehlungen!G22,"")</f>
        <v/>
      </c>
      <c r="G25" s="207"/>
      <c r="H25" s="207"/>
      <c r="I25" s="207"/>
    </row>
    <row r="26" spans="2:9" ht="15" customHeight="1" x14ac:dyDescent="0.25">
      <c r="B26" s="119" t="str">
        <f>IF(AND(Empfehlungen!K23&gt;=3,Empfehlungen!F23&lt;&gt;"",Empfehlungen!F23&gt;0),Empfehlungen!B23,"")</f>
        <v/>
      </c>
      <c r="C26" s="205" t="str">
        <f>IF(AND(Empfehlungen!K23&gt;=3,Empfehlungen!F23&lt;&gt;"",Empfehlungen!F23&gt;0),Empfehlungen!C23,"")</f>
        <v/>
      </c>
      <c r="D26" s="206" t="str">
        <f>IF(AND(Empfehlungen!K23&gt;=3,Empfehlungen!F23&lt;&gt;"",Empfehlungen!F23&gt;0),Empfehlungen!F23,"")</f>
        <v/>
      </c>
      <c r="E26" s="206" t="str">
        <f>IF(AND(Empfehlungen!K23&gt;=3,Empfehlungen!F23&lt;&gt;"",Empfehlungen!F23&gt;0),Empfehlungen!N23,"")</f>
        <v/>
      </c>
      <c r="F26" s="121" t="str">
        <f>IF(AND(Empfehlungen!K23&gt;=3,Empfehlungen!F23&lt;&gt;"",Empfehlungen!F23&gt;0),Empfehlungen!G23,"")</f>
        <v/>
      </c>
      <c r="G26" s="207"/>
      <c r="H26" s="207"/>
      <c r="I26" s="207"/>
    </row>
    <row r="27" spans="2:9" ht="24" customHeight="1" x14ac:dyDescent="0.25">
      <c r="B27" s="119" t="str">
        <f>IF(AND(Empfehlungen!K24&gt;=3,Empfehlungen!F24&lt;&gt;"",Empfehlungen!F24&gt;0),Empfehlungen!B24,"")</f>
        <v/>
      </c>
      <c r="C27" s="205" t="str">
        <f>IF(AND(Empfehlungen!K24&gt;=3,Empfehlungen!F24&lt;&gt;"",Empfehlungen!F24&gt;0),Empfehlungen!C24,"")</f>
        <v/>
      </c>
      <c r="D27" s="206" t="str">
        <f>IF(AND(Empfehlungen!K24&gt;=3,Empfehlungen!F24&lt;&gt;"",Empfehlungen!F24&gt;0),Empfehlungen!F24,"")</f>
        <v/>
      </c>
      <c r="E27" s="206" t="str">
        <f>IF(AND(Empfehlungen!K24&gt;=3,Empfehlungen!F24&lt;&gt;"",Empfehlungen!F24&gt;0),Empfehlungen!N24,"")</f>
        <v/>
      </c>
      <c r="F27" s="121" t="str">
        <f>IF(AND(Empfehlungen!K24&gt;=3,Empfehlungen!F24&lt;&gt;"",Empfehlungen!F24&gt;0),Empfehlungen!G24,"")</f>
        <v/>
      </c>
      <c r="G27" s="207"/>
      <c r="H27" s="207"/>
      <c r="I27" s="207"/>
    </row>
    <row r="28" spans="2:9" ht="36" customHeight="1" x14ac:dyDescent="0.25">
      <c r="B28" s="119" t="str">
        <f>IF(AND(Empfehlungen!K25&gt;=3,Empfehlungen!F25&lt;&gt;"",Empfehlungen!F25&gt;0),Empfehlungen!B25,"")</f>
        <v/>
      </c>
      <c r="C28" s="205" t="str">
        <f>IF(AND(Empfehlungen!K25&gt;=3,Empfehlungen!F25&lt;&gt;"",Empfehlungen!F25&gt;0),Empfehlungen!C25,"")</f>
        <v/>
      </c>
      <c r="D28" s="206" t="str">
        <f>IF(AND(Empfehlungen!K25&gt;=3,Empfehlungen!F25&lt;&gt;"",Empfehlungen!F25&gt;0),Empfehlungen!F25,"")</f>
        <v/>
      </c>
      <c r="E28" s="206" t="str">
        <f>IF(AND(Empfehlungen!K25&gt;=3,Empfehlungen!F25&lt;&gt;"",Empfehlungen!F25&gt;0),Empfehlungen!N25,"")</f>
        <v/>
      </c>
      <c r="F28" s="121" t="str">
        <f>IF(AND(Empfehlungen!K25&gt;=3,Empfehlungen!F25&lt;&gt;"",Empfehlungen!F25&gt;0),Empfehlungen!G25,"")</f>
        <v/>
      </c>
      <c r="G28" s="207"/>
      <c r="H28" s="207"/>
      <c r="I28" s="207"/>
    </row>
    <row r="29" spans="2:9" ht="36" customHeight="1" x14ac:dyDescent="0.25">
      <c r="B29" s="119" t="str">
        <f>IF(AND(Empfehlungen!K26&gt;=3,Empfehlungen!F26&lt;&gt;"",Empfehlungen!F26&gt;0),Empfehlungen!B26,"")</f>
        <v/>
      </c>
      <c r="C29" s="205" t="str">
        <f>IF(AND(Empfehlungen!K26&gt;=3,Empfehlungen!F26&lt;&gt;"",Empfehlungen!F26&gt;0),Empfehlungen!C26,"")</f>
        <v/>
      </c>
      <c r="D29" s="206" t="str">
        <f>IF(AND(Empfehlungen!K26&gt;=3,Empfehlungen!F26&lt;&gt;"",Empfehlungen!F26&gt;0),Empfehlungen!F26,"")</f>
        <v/>
      </c>
      <c r="E29" s="206" t="str">
        <f>IF(AND(Empfehlungen!K26&gt;=3,Empfehlungen!F26&lt;&gt;"",Empfehlungen!F26&gt;0),Empfehlungen!N26,"")</f>
        <v/>
      </c>
      <c r="F29" s="121" t="str">
        <f>IF(AND(Empfehlungen!K26&gt;=3,Empfehlungen!F26&lt;&gt;"",Empfehlungen!F26&gt;0),Empfehlungen!G26,"")</f>
        <v/>
      </c>
      <c r="G29" s="207"/>
      <c r="H29" s="207"/>
      <c r="I29" s="207"/>
    </row>
    <row r="30" spans="2:9" ht="30" customHeight="1" x14ac:dyDescent="0.25">
      <c r="B30" s="119" t="str">
        <f>IF(AND(Empfehlungen!K27&gt;=3,Empfehlungen!F27&lt;&gt;"",Empfehlungen!F27&gt;0),Empfehlungen!B27,"")</f>
        <v/>
      </c>
      <c r="C30" s="205" t="str">
        <f>IF(AND(Empfehlungen!K27&gt;=3,Empfehlungen!F27&lt;&gt;"",Empfehlungen!F27&gt;0),Empfehlungen!C27,"")</f>
        <v/>
      </c>
      <c r="D30" s="206" t="str">
        <f>IF(AND(Empfehlungen!K27&gt;=3,Empfehlungen!F27&lt;&gt;"",Empfehlungen!F27&gt;0),Empfehlungen!F27,"")</f>
        <v/>
      </c>
      <c r="E30" s="206" t="str">
        <f>IF(AND(Empfehlungen!K27&gt;=3,Empfehlungen!F27&lt;&gt;"",Empfehlungen!F27&gt;0),Empfehlungen!N27,"")</f>
        <v/>
      </c>
      <c r="F30" s="121" t="str">
        <f>IF(AND(Empfehlungen!K27&gt;=3,Empfehlungen!F27&lt;&gt;"",Empfehlungen!F27&gt;0),Empfehlungen!G27,"")</f>
        <v/>
      </c>
      <c r="G30" s="207"/>
      <c r="H30" s="207"/>
      <c r="I30" s="207"/>
    </row>
    <row r="33" spans="2:9" ht="15.75" customHeight="1" x14ac:dyDescent="0.25">
      <c r="B33" s="208" t="s">
        <v>440</v>
      </c>
      <c r="C33" s="209"/>
      <c r="D33" s="209"/>
      <c r="E33" s="209"/>
      <c r="F33" s="209"/>
      <c r="G33" s="209"/>
      <c r="H33" s="209"/>
      <c r="I33" s="209"/>
    </row>
    <row r="34" spans="2:9" ht="15" customHeight="1" x14ac:dyDescent="0.25">
      <c r="B34" s="201" t="s">
        <v>441</v>
      </c>
    </row>
    <row r="35" spans="2:9" ht="15" customHeight="1" x14ac:dyDescent="0.25">
      <c r="B35" s="204" t="s">
        <v>171</v>
      </c>
      <c r="C35" s="204" t="s">
        <v>172</v>
      </c>
      <c r="D35" s="204" t="s">
        <v>103</v>
      </c>
      <c r="E35" s="204" t="s">
        <v>173</v>
      </c>
      <c r="F35" s="204" t="s">
        <v>436</v>
      </c>
      <c r="G35" s="204" t="s">
        <v>437</v>
      </c>
      <c r="H35" s="204" t="s">
        <v>438</v>
      </c>
      <c r="I35" s="204" t="s">
        <v>439</v>
      </c>
    </row>
    <row r="36" spans="2:9" ht="15" customHeight="1" x14ac:dyDescent="0.25">
      <c r="B36" s="119" t="str">
        <f>IF(AND(Empfehlungen!K6=2,Empfehlungen!F6&lt;&gt;"",Empfehlungen!F6&gt;0),Empfehlungen!B6,"")</f>
        <v/>
      </c>
      <c r="C36" s="205" t="str">
        <f>IF(AND(Empfehlungen!K6=2,Empfehlungen!F6&lt;&gt;"",Empfehlungen!F6&gt;0),Empfehlungen!C6,"")</f>
        <v/>
      </c>
      <c r="D36" s="206" t="str">
        <f>IF(AND(Empfehlungen!K6=2,Empfehlungen!F6&lt;&gt;"",Empfehlungen!F6&gt;0),Empfehlungen!F6,"")</f>
        <v/>
      </c>
      <c r="E36" s="206" t="str">
        <f>IF(AND(Empfehlungen!K6=2,Empfehlungen!F6&lt;&gt;"",Empfehlungen!F6&gt;0),Empfehlungen!N6,"")</f>
        <v/>
      </c>
      <c r="F36" s="121" t="str">
        <f>IF(AND(Empfehlungen!K6=2,Empfehlungen!F6&lt;&gt;"",Empfehlungen!F6&gt;0),Empfehlungen!G6,"")</f>
        <v/>
      </c>
      <c r="G36" s="207"/>
      <c r="H36" s="207"/>
      <c r="I36" s="207"/>
    </row>
    <row r="37" spans="2:9" ht="15" customHeight="1" x14ac:dyDescent="0.25">
      <c r="B37" s="119" t="str">
        <f>IF(AND(Empfehlungen!K7=2,Empfehlungen!F7&lt;&gt;"",Empfehlungen!F7&gt;0),Empfehlungen!B7,"")</f>
        <v/>
      </c>
      <c r="C37" s="205" t="str">
        <f>IF(AND(Empfehlungen!K7=2,Empfehlungen!F7&lt;&gt;"",Empfehlungen!F7&gt;0),Empfehlungen!C7,"")</f>
        <v/>
      </c>
      <c r="D37" s="206" t="str">
        <f>IF(AND(Empfehlungen!K7=2,Empfehlungen!F7&lt;&gt;"",Empfehlungen!F7&gt;0),Empfehlungen!F7,"")</f>
        <v/>
      </c>
      <c r="E37" s="206" t="str">
        <f>IF(AND(Empfehlungen!K7=2,Empfehlungen!F7&lt;&gt;"",Empfehlungen!F7&gt;0),Empfehlungen!N7,"")</f>
        <v/>
      </c>
      <c r="F37" s="121" t="str">
        <f>IF(AND(Empfehlungen!K7=2,Empfehlungen!F7&lt;&gt;"",Empfehlungen!F7&gt;0),Empfehlungen!G7,"")</f>
        <v/>
      </c>
      <c r="G37" s="207"/>
      <c r="H37" s="207"/>
      <c r="I37" s="207"/>
    </row>
    <row r="38" spans="2:9" ht="15" customHeight="1" x14ac:dyDescent="0.25">
      <c r="B38" s="119" t="str">
        <f>IF(AND(Empfehlungen!K8=2,Empfehlungen!F8&lt;&gt;"",Empfehlungen!F8&gt;0),Empfehlungen!B8,"")</f>
        <v/>
      </c>
      <c r="C38" s="205" t="str">
        <f>IF(AND(Empfehlungen!K8=2,Empfehlungen!F8&lt;&gt;"",Empfehlungen!F8&gt;0),Empfehlungen!C8,"")</f>
        <v/>
      </c>
      <c r="D38" s="206" t="str">
        <f>IF(AND(Empfehlungen!K8=2,Empfehlungen!F8&lt;&gt;"",Empfehlungen!F8&gt;0),Empfehlungen!F8,"")</f>
        <v/>
      </c>
      <c r="E38" s="206" t="str">
        <f>IF(AND(Empfehlungen!K8=2,Empfehlungen!F8&lt;&gt;"",Empfehlungen!F8&gt;0),Empfehlungen!N8,"")</f>
        <v/>
      </c>
      <c r="F38" s="121" t="str">
        <f>IF(AND(Empfehlungen!K8=2,Empfehlungen!F8&lt;&gt;"",Empfehlungen!F8&gt;0),Empfehlungen!G8,"")</f>
        <v/>
      </c>
      <c r="G38" s="207"/>
      <c r="H38" s="207"/>
      <c r="I38" s="207"/>
    </row>
    <row r="39" spans="2:9" ht="15" customHeight="1" x14ac:dyDescent="0.25">
      <c r="B39" s="119" t="str">
        <f>IF(AND(Empfehlungen!K9=2,Empfehlungen!F9&lt;&gt;"",Empfehlungen!F9&gt;0),Empfehlungen!B9,"")</f>
        <v/>
      </c>
      <c r="C39" s="205" t="str">
        <f>IF(AND(Empfehlungen!K9=2,Empfehlungen!F9&lt;&gt;"",Empfehlungen!F9&gt;0),Empfehlungen!C9,"")</f>
        <v/>
      </c>
      <c r="D39" s="206" t="str">
        <f>IF(AND(Empfehlungen!K9=2,Empfehlungen!F9&lt;&gt;"",Empfehlungen!F9&gt;0),Empfehlungen!F9,"")</f>
        <v/>
      </c>
      <c r="E39" s="206" t="str">
        <f>IF(AND(Empfehlungen!K9=2,Empfehlungen!F9&lt;&gt;"",Empfehlungen!F9&gt;0),Empfehlungen!N9,"")</f>
        <v/>
      </c>
      <c r="F39" s="121" t="str">
        <f>IF(AND(Empfehlungen!K9=2,Empfehlungen!F9&lt;&gt;"",Empfehlungen!F9&gt;0),Empfehlungen!G9,"")</f>
        <v/>
      </c>
      <c r="G39" s="207"/>
      <c r="H39" s="207"/>
      <c r="I39" s="207"/>
    </row>
    <row r="40" spans="2:9" ht="15" customHeight="1" x14ac:dyDescent="0.25">
      <c r="B40" s="119" t="str">
        <f>IF(AND(Empfehlungen!K10=2,Empfehlungen!F10&lt;&gt;"",Empfehlungen!F10&gt;0),Empfehlungen!B10,"")</f>
        <v/>
      </c>
      <c r="C40" s="205" t="str">
        <f>IF(AND(Empfehlungen!K10=2,Empfehlungen!F10&lt;&gt;"",Empfehlungen!F10&gt;0),Empfehlungen!C10,"")</f>
        <v/>
      </c>
      <c r="D40" s="206" t="str">
        <f>IF(AND(Empfehlungen!K10=2,Empfehlungen!F10&lt;&gt;"",Empfehlungen!F10&gt;0),Empfehlungen!F10,"")</f>
        <v/>
      </c>
      <c r="E40" s="206" t="str">
        <f>IF(AND(Empfehlungen!K10=2,Empfehlungen!F10&lt;&gt;"",Empfehlungen!F10&gt;0),Empfehlungen!N10,"")</f>
        <v/>
      </c>
      <c r="F40" s="121" t="str">
        <f>IF(AND(Empfehlungen!K10=2,Empfehlungen!F10&lt;&gt;"",Empfehlungen!F10&gt;0),Empfehlungen!G10,"")</f>
        <v/>
      </c>
      <c r="G40" s="207"/>
      <c r="H40" s="207"/>
      <c r="I40" s="207"/>
    </row>
    <row r="41" spans="2:9" ht="15" customHeight="1" x14ac:dyDescent="0.25">
      <c r="B41" s="119" t="str">
        <f>IF(AND(Empfehlungen!K11=2,Empfehlungen!F11&lt;&gt;"",Empfehlungen!F11&gt;0),Empfehlungen!B11,"")</f>
        <v/>
      </c>
      <c r="C41" s="205" t="str">
        <f>IF(AND(Empfehlungen!K11=2,Empfehlungen!F11&lt;&gt;"",Empfehlungen!F11&gt;0),Empfehlungen!C11,"")</f>
        <v/>
      </c>
      <c r="D41" s="206" t="str">
        <f>IF(AND(Empfehlungen!K11=2,Empfehlungen!F11&lt;&gt;"",Empfehlungen!F11&gt;0),Empfehlungen!F11,"")</f>
        <v/>
      </c>
      <c r="E41" s="206" t="str">
        <f>IF(AND(Empfehlungen!K11=2,Empfehlungen!F11&lt;&gt;"",Empfehlungen!F11&gt;0),Empfehlungen!N11,"")</f>
        <v/>
      </c>
      <c r="F41" s="121" t="str">
        <f>IF(AND(Empfehlungen!K11=2,Empfehlungen!F11&lt;&gt;"",Empfehlungen!F11&gt;0),Empfehlungen!G11,"")</f>
        <v/>
      </c>
      <c r="G41" s="207"/>
      <c r="H41" s="207"/>
      <c r="I41" s="207"/>
    </row>
    <row r="42" spans="2:9" ht="15" customHeight="1" x14ac:dyDescent="0.25">
      <c r="B42" s="119" t="str">
        <f>IF(AND(Empfehlungen!K12=2,Empfehlungen!F12&lt;&gt;"",Empfehlungen!F12&gt;0),Empfehlungen!B12,"")</f>
        <v/>
      </c>
      <c r="C42" s="205" t="str">
        <f>IF(AND(Empfehlungen!K12=2,Empfehlungen!F12&lt;&gt;"",Empfehlungen!F12&gt;0),Empfehlungen!C12,"")</f>
        <v/>
      </c>
      <c r="D42" s="206" t="str">
        <f>IF(AND(Empfehlungen!K12=2,Empfehlungen!F12&lt;&gt;"",Empfehlungen!F12&gt;0),Empfehlungen!F12,"")</f>
        <v/>
      </c>
      <c r="E42" s="206" t="str">
        <f>IF(AND(Empfehlungen!K12=2,Empfehlungen!F12&lt;&gt;"",Empfehlungen!F12&gt;0),Empfehlungen!N12,"")</f>
        <v/>
      </c>
      <c r="F42" s="121" t="str">
        <f>IF(AND(Empfehlungen!K12=2,Empfehlungen!F12&lt;&gt;"",Empfehlungen!F12&gt;0),Empfehlungen!G12,"")</f>
        <v/>
      </c>
      <c r="G42" s="207"/>
      <c r="H42" s="207"/>
      <c r="I42" s="207"/>
    </row>
    <row r="43" spans="2:9" ht="36" customHeight="1" x14ac:dyDescent="0.25">
      <c r="B43" s="119" t="str">
        <f>IF(AND(Empfehlungen!K13=2,Empfehlungen!F13&lt;&gt;"",Empfehlungen!F13&gt;0),Empfehlungen!B13,"")</f>
        <v/>
      </c>
      <c r="C43" s="205" t="str">
        <f>IF(AND(Empfehlungen!K13=2,Empfehlungen!F13&lt;&gt;"",Empfehlungen!F13&gt;0),Empfehlungen!C13,"")</f>
        <v/>
      </c>
      <c r="D43" s="206" t="str">
        <f>IF(AND(Empfehlungen!K13=2,Empfehlungen!F13&lt;&gt;"",Empfehlungen!F13&gt;0),Empfehlungen!F13,"")</f>
        <v/>
      </c>
      <c r="E43" s="206" t="str">
        <f>IF(AND(Empfehlungen!K13=2,Empfehlungen!F13&lt;&gt;"",Empfehlungen!F13&gt;0),Empfehlungen!N13,"")</f>
        <v/>
      </c>
      <c r="F43" s="121" t="str">
        <f>IF(AND(Empfehlungen!K13=2,Empfehlungen!F13&lt;&gt;"",Empfehlungen!F13&gt;0),Empfehlungen!G13,"")</f>
        <v/>
      </c>
      <c r="G43" s="207"/>
      <c r="H43" s="207"/>
      <c r="I43" s="207"/>
    </row>
    <row r="44" spans="2:9" ht="15" customHeight="1" x14ac:dyDescent="0.25">
      <c r="B44" s="119" t="str">
        <f>IF(AND(Empfehlungen!K14=2,Empfehlungen!F14&lt;&gt;"",Empfehlungen!F14&gt;0),Empfehlungen!B14,"")</f>
        <v/>
      </c>
      <c r="C44" s="205" t="str">
        <f>IF(AND(Empfehlungen!K14=2,Empfehlungen!F14&lt;&gt;"",Empfehlungen!F14&gt;0),Empfehlungen!C14,"")</f>
        <v/>
      </c>
      <c r="D44" s="206" t="str">
        <f>IF(AND(Empfehlungen!K14=2,Empfehlungen!F14&lt;&gt;"",Empfehlungen!F14&gt;0),Empfehlungen!F14,"")</f>
        <v/>
      </c>
      <c r="E44" s="206" t="str">
        <f>IF(AND(Empfehlungen!K14=2,Empfehlungen!F14&lt;&gt;"",Empfehlungen!F14&gt;0),Empfehlungen!N14,"")</f>
        <v/>
      </c>
      <c r="F44" s="121" t="str">
        <f>IF(AND(Empfehlungen!K14=2,Empfehlungen!F14&lt;&gt;"",Empfehlungen!F14&gt;0),Empfehlungen!G14,"")</f>
        <v/>
      </c>
      <c r="G44" s="207"/>
      <c r="H44" s="207"/>
      <c r="I44" s="207"/>
    </row>
    <row r="45" spans="2:9" ht="15" customHeight="1" x14ac:dyDescent="0.25">
      <c r="B45" s="119" t="str">
        <f>IF(AND(Empfehlungen!K15=2,Empfehlungen!F15&lt;&gt;"",Empfehlungen!F15&gt;0),Empfehlungen!B15,"")</f>
        <v/>
      </c>
      <c r="C45" s="205" t="str">
        <f>IF(AND(Empfehlungen!K15=2,Empfehlungen!F15&lt;&gt;"",Empfehlungen!F15&gt;0),Empfehlungen!C15,"")</f>
        <v/>
      </c>
      <c r="D45" s="206" t="str">
        <f>IF(AND(Empfehlungen!K15=2,Empfehlungen!F15&lt;&gt;"",Empfehlungen!F15&gt;0),Empfehlungen!F15,"")</f>
        <v/>
      </c>
      <c r="E45" s="206" t="str">
        <f>IF(AND(Empfehlungen!K15=2,Empfehlungen!F15&lt;&gt;"",Empfehlungen!F15&gt;0),Empfehlungen!N15,"")</f>
        <v/>
      </c>
      <c r="F45" s="121" t="str">
        <f>IF(AND(Empfehlungen!K15=2,Empfehlungen!F15&lt;&gt;"",Empfehlungen!F15&gt;0),Empfehlungen!G15,"")</f>
        <v/>
      </c>
      <c r="G45" s="207"/>
      <c r="H45" s="207"/>
      <c r="I45" s="207"/>
    </row>
    <row r="46" spans="2:9" ht="15" customHeight="1" x14ac:dyDescent="0.25">
      <c r="B46" s="119" t="str">
        <f>IF(AND(Empfehlungen!K16=2,Empfehlungen!F16&lt;&gt;"",Empfehlungen!F16&gt;0),Empfehlungen!B16,"")</f>
        <v/>
      </c>
      <c r="C46" s="205" t="str">
        <f>IF(AND(Empfehlungen!K16=2,Empfehlungen!F16&lt;&gt;"",Empfehlungen!F16&gt;0),Empfehlungen!C16,"")</f>
        <v/>
      </c>
      <c r="D46" s="206" t="str">
        <f>IF(AND(Empfehlungen!K16=2,Empfehlungen!F16&lt;&gt;"",Empfehlungen!F16&gt;0),Empfehlungen!F16,"")</f>
        <v/>
      </c>
      <c r="E46" s="206" t="str">
        <f>IF(AND(Empfehlungen!K16=2,Empfehlungen!F16&lt;&gt;"",Empfehlungen!F16&gt;0),Empfehlungen!N16,"")</f>
        <v/>
      </c>
      <c r="F46" s="121" t="str">
        <f>IF(AND(Empfehlungen!K16=2,Empfehlungen!F16&lt;&gt;"",Empfehlungen!F16&gt;0),Empfehlungen!G16,"")</f>
        <v/>
      </c>
      <c r="G46" s="207"/>
      <c r="H46" s="207"/>
      <c r="I46" s="207"/>
    </row>
    <row r="47" spans="2:9" ht="15" customHeight="1" x14ac:dyDescent="0.25">
      <c r="B47" s="119" t="str">
        <f>IF(AND(Empfehlungen!K17=2,Empfehlungen!F17&lt;&gt;"",Empfehlungen!F17&gt;0),Empfehlungen!B17,"")</f>
        <v/>
      </c>
      <c r="C47" s="205" t="str">
        <f>IF(AND(Empfehlungen!K17=2,Empfehlungen!F17&lt;&gt;"",Empfehlungen!F17&gt;0),Empfehlungen!C17,"")</f>
        <v/>
      </c>
      <c r="D47" s="206" t="str">
        <f>IF(AND(Empfehlungen!K17=2,Empfehlungen!F17&lt;&gt;"",Empfehlungen!F17&gt;0),Empfehlungen!F17,"")</f>
        <v/>
      </c>
      <c r="E47" s="206" t="str">
        <f>IF(AND(Empfehlungen!K17=2,Empfehlungen!F17&lt;&gt;"",Empfehlungen!F17&gt;0),Empfehlungen!N17,"")</f>
        <v/>
      </c>
      <c r="F47" s="121" t="str">
        <f>IF(AND(Empfehlungen!K17=2,Empfehlungen!F17&lt;&gt;"",Empfehlungen!F17&gt;0),Empfehlungen!G17,"")</f>
        <v/>
      </c>
      <c r="G47" s="207"/>
      <c r="H47" s="207"/>
      <c r="I47" s="207"/>
    </row>
    <row r="48" spans="2:9" ht="15" customHeight="1" x14ac:dyDescent="0.25">
      <c r="B48" s="119" t="str">
        <f>IF(AND(Empfehlungen!K18=2,Empfehlungen!F18&lt;&gt;"",Empfehlungen!F18&gt;0),Empfehlungen!B18,"")</f>
        <v/>
      </c>
      <c r="C48" s="205" t="str">
        <f>IF(AND(Empfehlungen!K18=2,Empfehlungen!F18&lt;&gt;"",Empfehlungen!F18&gt;0),Empfehlungen!C18,"")</f>
        <v/>
      </c>
      <c r="D48" s="206" t="str">
        <f>IF(AND(Empfehlungen!K18=2,Empfehlungen!F18&lt;&gt;"",Empfehlungen!F18&gt;0),Empfehlungen!F18,"")</f>
        <v/>
      </c>
      <c r="E48" s="206" t="str">
        <f>IF(AND(Empfehlungen!K18=2,Empfehlungen!F18&lt;&gt;"",Empfehlungen!F18&gt;0),Empfehlungen!N18,"")</f>
        <v/>
      </c>
      <c r="F48" s="121" t="str">
        <f>IF(AND(Empfehlungen!K18=2,Empfehlungen!F18&lt;&gt;"",Empfehlungen!F18&gt;0),Empfehlungen!G18,"")</f>
        <v/>
      </c>
      <c r="G48" s="207"/>
      <c r="H48" s="207"/>
      <c r="I48" s="207"/>
    </row>
    <row r="49" spans="2:9" ht="36" customHeight="1" x14ac:dyDescent="0.25">
      <c r="B49" s="119" t="str">
        <f>IF(AND(Empfehlungen!K19=2,Empfehlungen!F19&lt;&gt;"",Empfehlungen!F19&gt;0),Empfehlungen!B19,"")</f>
        <v/>
      </c>
      <c r="C49" s="205" t="str">
        <f>IF(AND(Empfehlungen!K19=2,Empfehlungen!F19&lt;&gt;"",Empfehlungen!F19&gt;0),Empfehlungen!C19,"")</f>
        <v/>
      </c>
      <c r="D49" s="206" t="str">
        <f>IF(AND(Empfehlungen!K19=2,Empfehlungen!F19&lt;&gt;"",Empfehlungen!F19&gt;0),Empfehlungen!F19,"")</f>
        <v/>
      </c>
      <c r="E49" s="206" t="str">
        <f>IF(AND(Empfehlungen!K19=2,Empfehlungen!F19&lt;&gt;"",Empfehlungen!F19&gt;0),Empfehlungen!N19,"")</f>
        <v/>
      </c>
      <c r="F49" s="121" t="str">
        <f>IF(AND(Empfehlungen!K19=2,Empfehlungen!F19&lt;&gt;"",Empfehlungen!F19&gt;0),Empfehlungen!G19,"")</f>
        <v/>
      </c>
      <c r="G49" s="207"/>
      <c r="H49" s="207"/>
      <c r="I49" s="207"/>
    </row>
    <row r="50" spans="2:9" ht="36" customHeight="1" x14ac:dyDescent="0.25">
      <c r="B50" s="119" t="str">
        <f>IF(AND(Empfehlungen!K20=2,Empfehlungen!F20&lt;&gt;"",Empfehlungen!F20&gt;0),Empfehlungen!B20,"")</f>
        <v/>
      </c>
      <c r="C50" s="205" t="str">
        <f>IF(AND(Empfehlungen!K20=2,Empfehlungen!F20&lt;&gt;"",Empfehlungen!F20&gt;0),Empfehlungen!C20,"")</f>
        <v/>
      </c>
      <c r="D50" s="206" t="str">
        <f>IF(AND(Empfehlungen!K20=2,Empfehlungen!F20&lt;&gt;"",Empfehlungen!F20&gt;0),Empfehlungen!F20,"")</f>
        <v/>
      </c>
      <c r="E50" s="206" t="str">
        <f>IF(AND(Empfehlungen!K20=2,Empfehlungen!F20&lt;&gt;"",Empfehlungen!F20&gt;0),Empfehlungen!N20,"")</f>
        <v/>
      </c>
      <c r="F50" s="121" t="str">
        <f>IF(AND(Empfehlungen!K20=2,Empfehlungen!F20&lt;&gt;"",Empfehlungen!F20&gt;0),Empfehlungen!G20,"")</f>
        <v/>
      </c>
      <c r="G50" s="207"/>
      <c r="H50" s="207"/>
      <c r="I50" s="207"/>
    </row>
    <row r="51" spans="2:9" ht="15" customHeight="1" x14ac:dyDescent="0.25">
      <c r="B51" s="119" t="str">
        <f>IF(AND(Empfehlungen!K21=2,Empfehlungen!F21&lt;&gt;"",Empfehlungen!F21&gt;0),Empfehlungen!B21,"")</f>
        <v/>
      </c>
      <c r="C51" s="205" t="str">
        <f>IF(AND(Empfehlungen!K21=2,Empfehlungen!F21&lt;&gt;"",Empfehlungen!F21&gt;0),Empfehlungen!C21,"")</f>
        <v/>
      </c>
      <c r="D51" s="206" t="str">
        <f>IF(AND(Empfehlungen!K21=2,Empfehlungen!F21&lt;&gt;"",Empfehlungen!F21&gt;0),Empfehlungen!F21,"")</f>
        <v/>
      </c>
      <c r="E51" s="206" t="str">
        <f>IF(AND(Empfehlungen!K21=2,Empfehlungen!F21&lt;&gt;"",Empfehlungen!F21&gt;0),Empfehlungen!N21,"")</f>
        <v/>
      </c>
      <c r="F51" s="121" t="str">
        <f>IF(AND(Empfehlungen!K21=2,Empfehlungen!F21&lt;&gt;"",Empfehlungen!F21&gt;0),Empfehlungen!G21,"")</f>
        <v/>
      </c>
      <c r="G51" s="207"/>
      <c r="H51" s="207"/>
      <c r="I51" s="207"/>
    </row>
    <row r="52" spans="2:9" ht="15" customHeight="1" x14ac:dyDescent="0.25">
      <c r="B52" s="119" t="str">
        <f>IF(AND(Empfehlungen!K22=2,Empfehlungen!F22&lt;&gt;"",Empfehlungen!F22&gt;0),Empfehlungen!B22,"")</f>
        <v/>
      </c>
      <c r="C52" s="205" t="str">
        <f>IF(AND(Empfehlungen!K22=2,Empfehlungen!F22&lt;&gt;"",Empfehlungen!F22&gt;0),Empfehlungen!C22,"")</f>
        <v/>
      </c>
      <c r="D52" s="206" t="str">
        <f>IF(AND(Empfehlungen!K22=2,Empfehlungen!F22&lt;&gt;"",Empfehlungen!F22&gt;0),Empfehlungen!F22,"")</f>
        <v/>
      </c>
      <c r="E52" s="206" t="str">
        <f>IF(AND(Empfehlungen!K22=2,Empfehlungen!F22&lt;&gt;"",Empfehlungen!F22&gt;0),Empfehlungen!N22,"")</f>
        <v/>
      </c>
      <c r="F52" s="121" t="str">
        <f>IF(AND(Empfehlungen!K22=2,Empfehlungen!F22&lt;&gt;"",Empfehlungen!F22&gt;0),Empfehlungen!G22,"")</f>
        <v/>
      </c>
      <c r="G52" s="207"/>
      <c r="H52" s="207"/>
      <c r="I52" s="207"/>
    </row>
    <row r="53" spans="2:9" ht="36" customHeight="1" x14ac:dyDescent="0.25">
      <c r="B53" s="119" t="str">
        <f>IF(AND(Empfehlungen!K23=2,Empfehlungen!F23&lt;&gt;"",Empfehlungen!F23&gt;0),Empfehlungen!B23,"")</f>
        <v/>
      </c>
      <c r="C53" s="205" t="str">
        <f>IF(AND(Empfehlungen!K23=2,Empfehlungen!F23&lt;&gt;"",Empfehlungen!F23&gt;0),Empfehlungen!C23,"")</f>
        <v/>
      </c>
      <c r="D53" s="206" t="str">
        <f>IF(AND(Empfehlungen!K23=2,Empfehlungen!F23&lt;&gt;"",Empfehlungen!F23&gt;0),Empfehlungen!F23,"")</f>
        <v/>
      </c>
      <c r="E53" s="206" t="str">
        <f>IF(AND(Empfehlungen!K23=2,Empfehlungen!F23&lt;&gt;"",Empfehlungen!F23&gt;0),Empfehlungen!N23,"")</f>
        <v/>
      </c>
      <c r="F53" s="121" t="str">
        <f>IF(AND(Empfehlungen!K23=2,Empfehlungen!F23&lt;&gt;"",Empfehlungen!F23&gt;0),Empfehlungen!G23,"")</f>
        <v/>
      </c>
      <c r="G53" s="207"/>
      <c r="H53" s="207"/>
      <c r="I53" s="207"/>
    </row>
    <row r="54" spans="2:9" ht="15" customHeight="1" x14ac:dyDescent="0.25">
      <c r="B54" s="119" t="str">
        <f>IF(AND(Empfehlungen!K24=2,Empfehlungen!F24&lt;&gt;"",Empfehlungen!F24&gt;0),Empfehlungen!B24,"")</f>
        <v/>
      </c>
      <c r="C54" s="205" t="str">
        <f>IF(AND(Empfehlungen!K24=2,Empfehlungen!F24&lt;&gt;"",Empfehlungen!F24&gt;0),Empfehlungen!C24,"")</f>
        <v/>
      </c>
      <c r="D54" s="206" t="str">
        <f>IF(AND(Empfehlungen!K24=2,Empfehlungen!F24&lt;&gt;"",Empfehlungen!F24&gt;0),Empfehlungen!F24,"")</f>
        <v/>
      </c>
      <c r="E54" s="206" t="str">
        <f>IF(AND(Empfehlungen!K24=2,Empfehlungen!F24&lt;&gt;"",Empfehlungen!F24&gt;0),Empfehlungen!N24,"")</f>
        <v/>
      </c>
      <c r="F54" s="121" t="str">
        <f>IF(AND(Empfehlungen!K24=2,Empfehlungen!F24&lt;&gt;"",Empfehlungen!F24&gt;0),Empfehlungen!G24,"")</f>
        <v/>
      </c>
      <c r="G54" s="207"/>
      <c r="H54" s="207"/>
      <c r="I54" s="207"/>
    </row>
    <row r="55" spans="2:9" ht="15" customHeight="1" x14ac:dyDescent="0.25">
      <c r="B55" s="119" t="str">
        <f>IF(AND(Empfehlungen!K25=2,Empfehlungen!F25&lt;&gt;"",Empfehlungen!F25&gt;0),Empfehlungen!B25,"")</f>
        <v/>
      </c>
      <c r="C55" s="205" t="str">
        <f>IF(AND(Empfehlungen!K25=2,Empfehlungen!F25&lt;&gt;"",Empfehlungen!F25&gt;0),Empfehlungen!C25,"")</f>
        <v/>
      </c>
      <c r="D55" s="206" t="str">
        <f>IF(AND(Empfehlungen!K25=2,Empfehlungen!F25&lt;&gt;"",Empfehlungen!F25&gt;0),Empfehlungen!F25,"")</f>
        <v/>
      </c>
      <c r="E55" s="206" t="str">
        <f>IF(AND(Empfehlungen!K25=2,Empfehlungen!F25&lt;&gt;"",Empfehlungen!F25&gt;0),Empfehlungen!N25,"")</f>
        <v/>
      </c>
      <c r="F55" s="121" t="str">
        <f>IF(AND(Empfehlungen!K25=2,Empfehlungen!F25&lt;&gt;"",Empfehlungen!F25&gt;0),Empfehlungen!G25,"")</f>
        <v/>
      </c>
      <c r="G55" s="207"/>
      <c r="H55" s="207"/>
      <c r="I55" s="207"/>
    </row>
    <row r="56" spans="2:9" ht="15" customHeight="1" x14ac:dyDescent="0.25">
      <c r="B56" s="119" t="str">
        <f>IF(AND(Empfehlungen!K26=2,Empfehlungen!F26&lt;&gt;"",Empfehlungen!F26&gt;0),Empfehlungen!B26,"")</f>
        <v/>
      </c>
      <c r="C56" s="205" t="str">
        <f>IF(AND(Empfehlungen!K26=2,Empfehlungen!F26&lt;&gt;"",Empfehlungen!F26&gt;0),Empfehlungen!C26,"")</f>
        <v/>
      </c>
      <c r="D56" s="206" t="str">
        <f>IF(AND(Empfehlungen!K26=2,Empfehlungen!F26&lt;&gt;"",Empfehlungen!F26&gt;0),Empfehlungen!F26,"")</f>
        <v/>
      </c>
      <c r="E56" s="206" t="str">
        <f>IF(AND(Empfehlungen!K26=2,Empfehlungen!F26&lt;&gt;"",Empfehlungen!F26&gt;0),Empfehlungen!N26,"")</f>
        <v/>
      </c>
      <c r="F56" s="121" t="str">
        <f>IF(AND(Empfehlungen!K26=2,Empfehlungen!F26&lt;&gt;"",Empfehlungen!F26&gt;0),Empfehlungen!G26,"")</f>
        <v/>
      </c>
      <c r="G56" s="207"/>
      <c r="H56" s="207"/>
      <c r="I56" s="207"/>
    </row>
    <row r="57" spans="2:9" ht="15" customHeight="1" x14ac:dyDescent="0.25">
      <c r="B57" s="119" t="str">
        <f>IF(AND(Empfehlungen!K27=2,Empfehlungen!F27&lt;&gt;"",Empfehlungen!F27&gt;0),Empfehlungen!B27,"")</f>
        <v/>
      </c>
      <c r="C57" s="205" t="str">
        <f>IF(AND(Empfehlungen!K27=2,Empfehlungen!F27&lt;&gt;"",Empfehlungen!F27&gt;0),Empfehlungen!C27,"")</f>
        <v/>
      </c>
      <c r="D57" s="206" t="str">
        <f>IF(AND(Empfehlungen!K27=2,Empfehlungen!F27&lt;&gt;"",Empfehlungen!F27&gt;0),Empfehlungen!F27,"")</f>
        <v/>
      </c>
      <c r="E57" s="206" t="str">
        <f>IF(AND(Empfehlungen!K27=2,Empfehlungen!F27&lt;&gt;"",Empfehlungen!F27&gt;0),Empfehlungen!N27,"")</f>
        <v/>
      </c>
      <c r="F57" s="121" t="str">
        <f>IF(AND(Empfehlungen!K27=2,Empfehlungen!F27&lt;&gt;"",Empfehlungen!F27&gt;0),Empfehlungen!G27,"")</f>
        <v/>
      </c>
      <c r="G57" s="207"/>
      <c r="H57" s="207"/>
      <c r="I57" s="207"/>
    </row>
    <row r="60" spans="2:9" ht="15.75" customHeight="1" x14ac:dyDescent="0.25">
      <c r="B60" s="210" t="s">
        <v>442</v>
      </c>
      <c r="C60" s="211"/>
      <c r="D60" s="211"/>
      <c r="E60" s="211"/>
      <c r="F60" s="211"/>
      <c r="G60" s="211"/>
      <c r="H60" s="211"/>
      <c r="I60" s="211"/>
    </row>
    <row r="61" spans="2:9" ht="15" customHeight="1" x14ac:dyDescent="0.25">
      <c r="B61" s="201" t="s">
        <v>443</v>
      </c>
    </row>
    <row r="62" spans="2:9" ht="15" customHeight="1" x14ac:dyDescent="0.25">
      <c r="B62" s="204" t="s">
        <v>171</v>
      </c>
      <c r="C62" s="204" t="s">
        <v>172</v>
      </c>
      <c r="D62" s="204" t="s">
        <v>103</v>
      </c>
      <c r="E62" s="204" t="s">
        <v>173</v>
      </c>
      <c r="F62" s="204" t="s">
        <v>436</v>
      </c>
      <c r="G62" s="204" t="s">
        <v>437</v>
      </c>
      <c r="H62" s="204" t="s">
        <v>438</v>
      </c>
      <c r="I62" s="204" t="s">
        <v>439</v>
      </c>
    </row>
    <row r="63" spans="2:9" ht="15" customHeight="1" x14ac:dyDescent="0.25">
      <c r="B63" s="119" t="str">
        <f>IF(AND(Empfehlungen!K6=1,Empfehlungen!F6&lt;&gt;"",Empfehlungen!F6&gt;0),Empfehlungen!B6,"")</f>
        <v/>
      </c>
      <c r="C63" s="205" t="str">
        <f>IF(AND(Empfehlungen!K6=1,Empfehlungen!F6&lt;&gt;"",Empfehlungen!F6&gt;0),Empfehlungen!C6,"")</f>
        <v/>
      </c>
      <c r="D63" s="206" t="str">
        <f>IF(AND(Empfehlungen!K6=1,Empfehlungen!F6&lt;&gt;"",Empfehlungen!F6&gt;0),Empfehlungen!F6,"")</f>
        <v/>
      </c>
      <c r="E63" s="206" t="str">
        <f>IF(AND(Empfehlungen!K6=1,Empfehlungen!F6&lt;&gt;"",Empfehlungen!F6&gt;0),Empfehlungen!N6,"")</f>
        <v/>
      </c>
      <c r="F63" s="121" t="str">
        <f>IF(AND(Empfehlungen!K6=1,Empfehlungen!F6&lt;&gt;"",Empfehlungen!F6&gt;0),Empfehlungen!G6,"")</f>
        <v/>
      </c>
      <c r="G63" s="207"/>
      <c r="H63" s="207"/>
      <c r="I63" s="207"/>
    </row>
    <row r="64" spans="2:9" ht="15" customHeight="1" x14ac:dyDescent="0.25">
      <c r="B64" s="119" t="str">
        <f>IF(AND(Empfehlungen!K7=1,Empfehlungen!F7&lt;&gt;"",Empfehlungen!F7&gt;0),Empfehlungen!B7,"")</f>
        <v/>
      </c>
      <c r="C64" s="205" t="str">
        <f>IF(AND(Empfehlungen!K7=1,Empfehlungen!F7&lt;&gt;"",Empfehlungen!F7&gt;0),Empfehlungen!C7,"")</f>
        <v/>
      </c>
      <c r="D64" s="206" t="str">
        <f>IF(AND(Empfehlungen!K7=1,Empfehlungen!F7&lt;&gt;"",Empfehlungen!F7&gt;0),Empfehlungen!F7,"")</f>
        <v/>
      </c>
      <c r="E64" s="206" t="str">
        <f>IF(AND(Empfehlungen!K7=1,Empfehlungen!F7&lt;&gt;"",Empfehlungen!F7&gt;0),Empfehlungen!N7,"")</f>
        <v/>
      </c>
      <c r="F64" s="121" t="str">
        <f>IF(AND(Empfehlungen!K7=1,Empfehlungen!F7&lt;&gt;"",Empfehlungen!F7&gt;0),Empfehlungen!G7,"")</f>
        <v/>
      </c>
      <c r="G64" s="207"/>
      <c r="H64" s="207"/>
      <c r="I64" s="207"/>
    </row>
    <row r="65" spans="2:9" ht="15" customHeight="1" x14ac:dyDescent="0.25">
      <c r="B65" s="119" t="str">
        <f>IF(AND(Empfehlungen!K8=1,Empfehlungen!F8&lt;&gt;"",Empfehlungen!F8&gt;0),Empfehlungen!B8,"")</f>
        <v/>
      </c>
      <c r="C65" s="205" t="str">
        <f>IF(AND(Empfehlungen!K8=1,Empfehlungen!F8&lt;&gt;"",Empfehlungen!F8&gt;0),Empfehlungen!C8,"")</f>
        <v/>
      </c>
      <c r="D65" s="206" t="str">
        <f>IF(AND(Empfehlungen!K8=1,Empfehlungen!F8&lt;&gt;"",Empfehlungen!F8&gt;0),Empfehlungen!F8,"")</f>
        <v/>
      </c>
      <c r="E65" s="206" t="str">
        <f>IF(AND(Empfehlungen!K8=1,Empfehlungen!F8&lt;&gt;"",Empfehlungen!F8&gt;0),Empfehlungen!N8,"")</f>
        <v/>
      </c>
      <c r="F65" s="121" t="str">
        <f>IF(AND(Empfehlungen!K8=1,Empfehlungen!F8&lt;&gt;"",Empfehlungen!F8&gt;0),Empfehlungen!G8,"")</f>
        <v/>
      </c>
      <c r="G65" s="207"/>
      <c r="H65" s="207"/>
      <c r="I65" s="207"/>
    </row>
    <row r="66" spans="2:9" ht="15" customHeight="1" x14ac:dyDescent="0.25">
      <c r="B66" s="119" t="str">
        <f>IF(AND(Empfehlungen!K9=1,Empfehlungen!F9&lt;&gt;"",Empfehlungen!F9&gt;0),Empfehlungen!B9,"")</f>
        <v/>
      </c>
      <c r="C66" s="205" t="str">
        <f>IF(AND(Empfehlungen!K9=1,Empfehlungen!F9&lt;&gt;"",Empfehlungen!F9&gt;0),Empfehlungen!C9,"")</f>
        <v/>
      </c>
      <c r="D66" s="206" t="str">
        <f>IF(AND(Empfehlungen!K9=1,Empfehlungen!F9&lt;&gt;"",Empfehlungen!F9&gt;0),Empfehlungen!F9,"")</f>
        <v/>
      </c>
      <c r="E66" s="206" t="str">
        <f>IF(AND(Empfehlungen!K9=1,Empfehlungen!F9&lt;&gt;"",Empfehlungen!F9&gt;0),Empfehlungen!N9,"")</f>
        <v/>
      </c>
      <c r="F66" s="121" t="str">
        <f>IF(AND(Empfehlungen!K9=1,Empfehlungen!F9&lt;&gt;"",Empfehlungen!F9&gt;0),Empfehlungen!G9,"")</f>
        <v/>
      </c>
      <c r="G66" s="207"/>
      <c r="H66" s="207"/>
      <c r="I66" s="207"/>
    </row>
    <row r="67" spans="2:9" ht="15" customHeight="1" x14ac:dyDescent="0.25">
      <c r="B67" s="119" t="str">
        <f>IF(AND(Empfehlungen!K10=1,Empfehlungen!F10&lt;&gt;"",Empfehlungen!F10&gt;0),Empfehlungen!B10,"")</f>
        <v/>
      </c>
      <c r="C67" s="205" t="str">
        <f>IF(AND(Empfehlungen!K10=1,Empfehlungen!F10&lt;&gt;"",Empfehlungen!F10&gt;0),Empfehlungen!C10,"")</f>
        <v/>
      </c>
      <c r="D67" s="206" t="str">
        <f>IF(AND(Empfehlungen!K10=1,Empfehlungen!F10&lt;&gt;"",Empfehlungen!F10&gt;0),Empfehlungen!F10,"")</f>
        <v/>
      </c>
      <c r="E67" s="206" t="str">
        <f>IF(AND(Empfehlungen!K10=1,Empfehlungen!F10&lt;&gt;"",Empfehlungen!F10&gt;0),Empfehlungen!N10,"")</f>
        <v/>
      </c>
      <c r="F67" s="121" t="str">
        <f>IF(AND(Empfehlungen!K10=1,Empfehlungen!F10&lt;&gt;"",Empfehlungen!F10&gt;0),Empfehlungen!G10,"")</f>
        <v/>
      </c>
      <c r="G67" s="207"/>
      <c r="H67" s="207"/>
      <c r="I67" s="207"/>
    </row>
    <row r="68" spans="2:9" ht="15" customHeight="1" x14ac:dyDescent="0.25">
      <c r="B68" s="119" t="str">
        <f>IF(AND(Empfehlungen!K11=1,Empfehlungen!F11&lt;&gt;"",Empfehlungen!F11&gt;0),Empfehlungen!B11,"")</f>
        <v/>
      </c>
      <c r="C68" s="205" t="str">
        <f>IF(AND(Empfehlungen!K11=1,Empfehlungen!F11&lt;&gt;"",Empfehlungen!F11&gt;0),Empfehlungen!C11,"")</f>
        <v/>
      </c>
      <c r="D68" s="206" t="str">
        <f>IF(AND(Empfehlungen!K11=1,Empfehlungen!F11&lt;&gt;"",Empfehlungen!F11&gt;0),Empfehlungen!F11,"")</f>
        <v/>
      </c>
      <c r="E68" s="206" t="str">
        <f>IF(AND(Empfehlungen!K11=1,Empfehlungen!F11&lt;&gt;"",Empfehlungen!F11&gt;0),Empfehlungen!N11,"")</f>
        <v/>
      </c>
      <c r="F68" s="121" t="str">
        <f>IF(AND(Empfehlungen!K11=1,Empfehlungen!F11&lt;&gt;"",Empfehlungen!F11&gt;0),Empfehlungen!G11,"")</f>
        <v/>
      </c>
      <c r="G68" s="207"/>
      <c r="H68" s="207"/>
      <c r="I68" s="207"/>
    </row>
    <row r="69" spans="2:9" ht="15" customHeight="1" x14ac:dyDescent="0.25">
      <c r="B69" s="119" t="str">
        <f>IF(AND(Empfehlungen!K12=1,Empfehlungen!F12&lt;&gt;"",Empfehlungen!F12&gt;0),Empfehlungen!B12,"")</f>
        <v/>
      </c>
      <c r="C69" s="205" t="str">
        <f>IF(AND(Empfehlungen!K12=1,Empfehlungen!F12&lt;&gt;"",Empfehlungen!F12&gt;0),Empfehlungen!C12,"")</f>
        <v/>
      </c>
      <c r="D69" s="206" t="str">
        <f>IF(AND(Empfehlungen!K12=1,Empfehlungen!F12&lt;&gt;"",Empfehlungen!F12&gt;0),Empfehlungen!F12,"")</f>
        <v/>
      </c>
      <c r="E69" s="206" t="str">
        <f>IF(AND(Empfehlungen!K12=1,Empfehlungen!F12&lt;&gt;"",Empfehlungen!F12&gt;0),Empfehlungen!N12,"")</f>
        <v/>
      </c>
      <c r="F69" s="121" t="str">
        <f>IF(AND(Empfehlungen!K12=1,Empfehlungen!F12&lt;&gt;"",Empfehlungen!F12&gt;0),Empfehlungen!G12,"")</f>
        <v/>
      </c>
      <c r="G69" s="207"/>
      <c r="H69" s="207"/>
      <c r="I69" s="207"/>
    </row>
    <row r="70" spans="2:9" ht="15" customHeight="1" x14ac:dyDescent="0.25">
      <c r="B70" s="119" t="str">
        <f>IF(AND(Empfehlungen!K13=1,Empfehlungen!F13&lt;&gt;"",Empfehlungen!F13&gt;0),Empfehlungen!B13,"")</f>
        <v/>
      </c>
      <c r="C70" s="205" t="str">
        <f>IF(AND(Empfehlungen!K13=1,Empfehlungen!F13&lt;&gt;"",Empfehlungen!F13&gt;0),Empfehlungen!C13,"")</f>
        <v/>
      </c>
      <c r="D70" s="206" t="str">
        <f>IF(AND(Empfehlungen!K13=1,Empfehlungen!F13&lt;&gt;"",Empfehlungen!F13&gt;0),Empfehlungen!F13,"")</f>
        <v/>
      </c>
      <c r="E70" s="206" t="str">
        <f>IF(AND(Empfehlungen!K13=1,Empfehlungen!F13&lt;&gt;"",Empfehlungen!F13&gt;0),Empfehlungen!N13,"")</f>
        <v/>
      </c>
      <c r="F70" s="121" t="str">
        <f>IF(AND(Empfehlungen!K13=1,Empfehlungen!F13&lt;&gt;"",Empfehlungen!F13&gt;0),Empfehlungen!G13,"")</f>
        <v/>
      </c>
      <c r="G70" s="207"/>
      <c r="H70" s="207"/>
      <c r="I70" s="207"/>
    </row>
    <row r="71" spans="2:9" ht="15" customHeight="1" x14ac:dyDescent="0.25">
      <c r="B71" s="119" t="str">
        <f>IF(AND(Empfehlungen!K14=1,Empfehlungen!F14&lt;&gt;"",Empfehlungen!F14&gt;0),Empfehlungen!B14,"")</f>
        <v/>
      </c>
      <c r="C71" s="205" t="str">
        <f>IF(AND(Empfehlungen!K14=1,Empfehlungen!F14&lt;&gt;"",Empfehlungen!F14&gt;0),Empfehlungen!C14,"")</f>
        <v/>
      </c>
      <c r="D71" s="206" t="str">
        <f>IF(AND(Empfehlungen!K14=1,Empfehlungen!F14&lt;&gt;"",Empfehlungen!F14&gt;0),Empfehlungen!F14,"")</f>
        <v/>
      </c>
      <c r="E71" s="206" t="str">
        <f>IF(AND(Empfehlungen!K14=1,Empfehlungen!F14&lt;&gt;"",Empfehlungen!F14&gt;0),Empfehlungen!N14,"")</f>
        <v/>
      </c>
      <c r="F71" s="121" t="str">
        <f>IF(AND(Empfehlungen!K14=1,Empfehlungen!F14&lt;&gt;"",Empfehlungen!F14&gt;0),Empfehlungen!G14,"")</f>
        <v/>
      </c>
      <c r="G71" s="207"/>
      <c r="H71" s="207"/>
      <c r="I71" s="207"/>
    </row>
    <row r="72" spans="2:9" ht="15" customHeight="1" x14ac:dyDescent="0.25">
      <c r="B72" s="119" t="str">
        <f>IF(AND(Empfehlungen!K15=1,Empfehlungen!F15&lt;&gt;"",Empfehlungen!F15&gt;0),Empfehlungen!B15,"")</f>
        <v/>
      </c>
      <c r="C72" s="205" t="str">
        <f>IF(AND(Empfehlungen!K15=1,Empfehlungen!F15&lt;&gt;"",Empfehlungen!F15&gt;0),Empfehlungen!C15,"")</f>
        <v/>
      </c>
      <c r="D72" s="206" t="str">
        <f>IF(AND(Empfehlungen!K15=1,Empfehlungen!F15&lt;&gt;"",Empfehlungen!F15&gt;0),Empfehlungen!F15,"")</f>
        <v/>
      </c>
      <c r="E72" s="206" t="str">
        <f>IF(AND(Empfehlungen!K15=1,Empfehlungen!F15&lt;&gt;"",Empfehlungen!F15&gt;0),Empfehlungen!N15,"")</f>
        <v/>
      </c>
      <c r="F72" s="121" t="str">
        <f>IF(AND(Empfehlungen!K15=1,Empfehlungen!F15&lt;&gt;"",Empfehlungen!F15&gt;0),Empfehlungen!G15,"")</f>
        <v/>
      </c>
      <c r="G72" s="207"/>
      <c r="H72" s="207"/>
      <c r="I72" s="207"/>
    </row>
    <row r="73" spans="2:9" ht="15" customHeight="1" x14ac:dyDescent="0.25">
      <c r="B73" s="119" t="str">
        <f>IF(AND(Empfehlungen!K16=1,Empfehlungen!F16&lt;&gt;"",Empfehlungen!F16&gt;0),Empfehlungen!B16,"")</f>
        <v/>
      </c>
      <c r="C73" s="205" t="str">
        <f>IF(AND(Empfehlungen!K16=1,Empfehlungen!F16&lt;&gt;"",Empfehlungen!F16&gt;0),Empfehlungen!C16,"")</f>
        <v/>
      </c>
      <c r="D73" s="206" t="str">
        <f>IF(AND(Empfehlungen!K16=1,Empfehlungen!F16&lt;&gt;"",Empfehlungen!F16&gt;0),Empfehlungen!F16,"")</f>
        <v/>
      </c>
      <c r="E73" s="206" t="str">
        <f>IF(AND(Empfehlungen!K16=1,Empfehlungen!F16&lt;&gt;"",Empfehlungen!F16&gt;0),Empfehlungen!N16,"")</f>
        <v/>
      </c>
      <c r="F73" s="121" t="str">
        <f>IF(AND(Empfehlungen!K16=1,Empfehlungen!F16&lt;&gt;"",Empfehlungen!F16&gt;0),Empfehlungen!G16,"")</f>
        <v/>
      </c>
      <c r="G73" s="207"/>
      <c r="H73" s="207"/>
      <c r="I73" s="207"/>
    </row>
    <row r="74" spans="2:9" ht="15" customHeight="1" x14ac:dyDescent="0.25">
      <c r="B74" s="119" t="str">
        <f>IF(AND(Empfehlungen!K17=1,Empfehlungen!F17&lt;&gt;"",Empfehlungen!F17&gt;0),Empfehlungen!B17,"")</f>
        <v/>
      </c>
      <c r="C74" s="205" t="str">
        <f>IF(AND(Empfehlungen!K17=1,Empfehlungen!F17&lt;&gt;"",Empfehlungen!F17&gt;0),Empfehlungen!C17,"")</f>
        <v/>
      </c>
      <c r="D74" s="206" t="str">
        <f>IF(AND(Empfehlungen!K17=1,Empfehlungen!F17&lt;&gt;"",Empfehlungen!F17&gt;0),Empfehlungen!F17,"")</f>
        <v/>
      </c>
      <c r="E74" s="206" t="str">
        <f>IF(AND(Empfehlungen!K17=1,Empfehlungen!F17&lt;&gt;"",Empfehlungen!F17&gt;0),Empfehlungen!N17,"")</f>
        <v/>
      </c>
      <c r="F74" s="121" t="str">
        <f>IF(AND(Empfehlungen!K17=1,Empfehlungen!F17&lt;&gt;"",Empfehlungen!F17&gt;0),Empfehlungen!G17,"")</f>
        <v/>
      </c>
      <c r="G74" s="207"/>
      <c r="H74" s="207"/>
      <c r="I74" s="207"/>
    </row>
    <row r="75" spans="2:9" ht="15" customHeight="1" x14ac:dyDescent="0.25">
      <c r="B75" s="119" t="str">
        <f>IF(AND(Empfehlungen!K18=1,Empfehlungen!F18&lt;&gt;"",Empfehlungen!F18&gt;0),Empfehlungen!B18,"")</f>
        <v/>
      </c>
      <c r="C75" s="205" t="str">
        <f>IF(AND(Empfehlungen!K18=1,Empfehlungen!F18&lt;&gt;"",Empfehlungen!F18&gt;0),Empfehlungen!C18,"")</f>
        <v/>
      </c>
      <c r="D75" s="206" t="str">
        <f>IF(AND(Empfehlungen!K18=1,Empfehlungen!F18&lt;&gt;"",Empfehlungen!F18&gt;0),Empfehlungen!F18,"")</f>
        <v/>
      </c>
      <c r="E75" s="206" t="str">
        <f>IF(AND(Empfehlungen!K18=1,Empfehlungen!F18&lt;&gt;"",Empfehlungen!F18&gt;0),Empfehlungen!N18,"")</f>
        <v/>
      </c>
      <c r="F75" s="121" t="str">
        <f>IF(AND(Empfehlungen!K18=1,Empfehlungen!F18&lt;&gt;"",Empfehlungen!F18&gt;0),Empfehlungen!G18,"")</f>
        <v/>
      </c>
      <c r="G75" s="207"/>
      <c r="H75" s="207"/>
      <c r="I75" s="207"/>
    </row>
    <row r="76" spans="2:9" ht="15" customHeight="1" x14ac:dyDescent="0.25">
      <c r="B76" s="119" t="str">
        <f>IF(AND(Empfehlungen!K19=1,Empfehlungen!F19&lt;&gt;"",Empfehlungen!F19&gt;0),Empfehlungen!B19,"")</f>
        <v/>
      </c>
      <c r="C76" s="205" t="str">
        <f>IF(AND(Empfehlungen!K19=1,Empfehlungen!F19&lt;&gt;"",Empfehlungen!F19&gt;0),Empfehlungen!C19,"")</f>
        <v/>
      </c>
      <c r="D76" s="206" t="str">
        <f>IF(AND(Empfehlungen!K19=1,Empfehlungen!F19&lt;&gt;"",Empfehlungen!F19&gt;0),Empfehlungen!F19,"")</f>
        <v/>
      </c>
      <c r="E76" s="206" t="str">
        <f>IF(AND(Empfehlungen!K19=1,Empfehlungen!F19&lt;&gt;"",Empfehlungen!F19&gt;0),Empfehlungen!N19,"")</f>
        <v/>
      </c>
      <c r="F76" s="121" t="str">
        <f>IF(AND(Empfehlungen!K19=1,Empfehlungen!F19&lt;&gt;"",Empfehlungen!F19&gt;0),Empfehlungen!G19,"")</f>
        <v/>
      </c>
      <c r="G76" s="207"/>
      <c r="H76" s="207"/>
      <c r="I76" s="207"/>
    </row>
    <row r="77" spans="2:9" ht="15" customHeight="1" x14ac:dyDescent="0.25">
      <c r="B77" s="119" t="str">
        <f>IF(AND(Empfehlungen!K20=1,Empfehlungen!F20&lt;&gt;"",Empfehlungen!F20&gt;0),Empfehlungen!B20,"")</f>
        <v/>
      </c>
      <c r="C77" s="205" t="str">
        <f>IF(AND(Empfehlungen!K20=1,Empfehlungen!F20&lt;&gt;"",Empfehlungen!F20&gt;0),Empfehlungen!C20,"")</f>
        <v/>
      </c>
      <c r="D77" s="206" t="str">
        <f>IF(AND(Empfehlungen!K20=1,Empfehlungen!F20&lt;&gt;"",Empfehlungen!F20&gt;0),Empfehlungen!F20,"")</f>
        <v/>
      </c>
      <c r="E77" s="206" t="str">
        <f>IF(AND(Empfehlungen!K20=1,Empfehlungen!F20&lt;&gt;"",Empfehlungen!F20&gt;0),Empfehlungen!N20,"")</f>
        <v/>
      </c>
      <c r="F77" s="121" t="str">
        <f>IF(AND(Empfehlungen!K20=1,Empfehlungen!F20&lt;&gt;"",Empfehlungen!F20&gt;0),Empfehlungen!G20,"")</f>
        <v/>
      </c>
      <c r="G77" s="207"/>
      <c r="H77" s="207"/>
      <c r="I77" s="207"/>
    </row>
    <row r="78" spans="2:9" ht="15" customHeight="1" x14ac:dyDescent="0.25">
      <c r="B78" s="119" t="str">
        <f>IF(AND(Empfehlungen!K21=1,Empfehlungen!F21&lt;&gt;"",Empfehlungen!F21&gt;0),Empfehlungen!B21,"")</f>
        <v/>
      </c>
      <c r="C78" s="205" t="str">
        <f>IF(AND(Empfehlungen!K21=1,Empfehlungen!F21&lt;&gt;"",Empfehlungen!F21&gt;0),Empfehlungen!C21,"")</f>
        <v/>
      </c>
      <c r="D78" s="206" t="str">
        <f>IF(AND(Empfehlungen!K21=1,Empfehlungen!F21&lt;&gt;"",Empfehlungen!F21&gt;0),Empfehlungen!F21,"")</f>
        <v/>
      </c>
      <c r="E78" s="206" t="str">
        <f>IF(AND(Empfehlungen!K21=1,Empfehlungen!F21&lt;&gt;"",Empfehlungen!F21&gt;0),Empfehlungen!N21,"")</f>
        <v/>
      </c>
      <c r="F78" s="121" t="str">
        <f>IF(AND(Empfehlungen!K21=1,Empfehlungen!F21&lt;&gt;"",Empfehlungen!F21&gt;0),Empfehlungen!G21,"")</f>
        <v/>
      </c>
      <c r="G78" s="207"/>
      <c r="H78" s="207"/>
      <c r="I78" s="207"/>
    </row>
    <row r="79" spans="2:9" ht="15" customHeight="1" x14ac:dyDescent="0.25">
      <c r="B79" s="119" t="str">
        <f>IF(AND(Empfehlungen!K22=1,Empfehlungen!F22&lt;&gt;"",Empfehlungen!F22&gt;0),Empfehlungen!B22,"")</f>
        <v/>
      </c>
      <c r="C79" s="205" t="str">
        <f>IF(AND(Empfehlungen!K22=1,Empfehlungen!F22&lt;&gt;"",Empfehlungen!F22&gt;0),Empfehlungen!C22,"")</f>
        <v/>
      </c>
      <c r="D79" s="206" t="str">
        <f>IF(AND(Empfehlungen!K22=1,Empfehlungen!F22&lt;&gt;"",Empfehlungen!F22&gt;0),Empfehlungen!F22,"")</f>
        <v/>
      </c>
      <c r="E79" s="206" t="str">
        <f>IF(AND(Empfehlungen!K22=1,Empfehlungen!F22&lt;&gt;"",Empfehlungen!F22&gt;0),Empfehlungen!N22,"")</f>
        <v/>
      </c>
      <c r="F79" s="121" t="str">
        <f>IF(AND(Empfehlungen!K22=1,Empfehlungen!F22&lt;&gt;"",Empfehlungen!F22&gt;0),Empfehlungen!G22,"")</f>
        <v/>
      </c>
      <c r="G79" s="207"/>
      <c r="H79" s="207"/>
      <c r="I79" s="207"/>
    </row>
    <row r="80" spans="2:9" ht="15" customHeight="1" x14ac:dyDescent="0.25">
      <c r="B80" s="119" t="str">
        <f>IF(AND(Empfehlungen!K23=1,Empfehlungen!F23&lt;&gt;"",Empfehlungen!F23&gt;0),Empfehlungen!B23,"")</f>
        <v/>
      </c>
      <c r="C80" s="205" t="str">
        <f>IF(AND(Empfehlungen!K23=1,Empfehlungen!F23&lt;&gt;"",Empfehlungen!F23&gt;0),Empfehlungen!C23,"")</f>
        <v/>
      </c>
      <c r="D80" s="206" t="str">
        <f>IF(AND(Empfehlungen!K23=1,Empfehlungen!F23&lt;&gt;"",Empfehlungen!F23&gt;0),Empfehlungen!F23,"")</f>
        <v/>
      </c>
      <c r="E80" s="206" t="str">
        <f>IF(AND(Empfehlungen!K23=1,Empfehlungen!F23&lt;&gt;"",Empfehlungen!F23&gt;0),Empfehlungen!N23,"")</f>
        <v/>
      </c>
      <c r="F80" s="121" t="str">
        <f>IF(AND(Empfehlungen!K23=1,Empfehlungen!F23&lt;&gt;"",Empfehlungen!F23&gt;0),Empfehlungen!G23,"")</f>
        <v/>
      </c>
      <c r="G80" s="207"/>
      <c r="H80" s="207"/>
      <c r="I80" s="207"/>
    </row>
    <row r="81" spans="2:9" ht="15" customHeight="1" x14ac:dyDescent="0.25">
      <c r="B81" s="119" t="str">
        <f>IF(AND(Empfehlungen!K24=1,Empfehlungen!F24&lt;&gt;"",Empfehlungen!F24&gt;0),Empfehlungen!B24,"")</f>
        <v/>
      </c>
      <c r="C81" s="205" t="str">
        <f>IF(AND(Empfehlungen!K24=1,Empfehlungen!F24&lt;&gt;"",Empfehlungen!F24&gt;0),Empfehlungen!C24,"")</f>
        <v/>
      </c>
      <c r="D81" s="206" t="str">
        <f>IF(AND(Empfehlungen!K24=1,Empfehlungen!F24&lt;&gt;"",Empfehlungen!F24&gt;0),Empfehlungen!F24,"")</f>
        <v/>
      </c>
      <c r="E81" s="206" t="str">
        <f>IF(AND(Empfehlungen!K24=1,Empfehlungen!F24&lt;&gt;"",Empfehlungen!F24&gt;0),Empfehlungen!N24,"")</f>
        <v/>
      </c>
      <c r="F81" s="121" t="str">
        <f>IF(AND(Empfehlungen!K24=1,Empfehlungen!F24&lt;&gt;"",Empfehlungen!F24&gt;0),Empfehlungen!G24,"")</f>
        <v/>
      </c>
      <c r="G81" s="207"/>
      <c r="H81" s="207"/>
      <c r="I81" s="207"/>
    </row>
    <row r="82" spans="2:9" ht="15" customHeight="1" x14ac:dyDescent="0.25">
      <c r="B82" s="119" t="str">
        <f>IF(AND(Empfehlungen!K25=1,Empfehlungen!F25&lt;&gt;"",Empfehlungen!F25&gt;0),Empfehlungen!B25,"")</f>
        <v/>
      </c>
      <c r="C82" s="205" t="str">
        <f>IF(AND(Empfehlungen!K25=1,Empfehlungen!F25&lt;&gt;"",Empfehlungen!F25&gt;0),Empfehlungen!C25,"")</f>
        <v/>
      </c>
      <c r="D82" s="206" t="str">
        <f>IF(AND(Empfehlungen!K25=1,Empfehlungen!F25&lt;&gt;"",Empfehlungen!F25&gt;0),Empfehlungen!F25,"")</f>
        <v/>
      </c>
      <c r="E82" s="206" t="str">
        <f>IF(AND(Empfehlungen!K25=1,Empfehlungen!F25&lt;&gt;"",Empfehlungen!F25&gt;0),Empfehlungen!N25,"")</f>
        <v/>
      </c>
      <c r="F82" s="121" t="str">
        <f>IF(AND(Empfehlungen!K25=1,Empfehlungen!F25&lt;&gt;"",Empfehlungen!F25&gt;0),Empfehlungen!G25,"")</f>
        <v/>
      </c>
      <c r="G82" s="207"/>
      <c r="H82" s="207"/>
      <c r="I82" s="207"/>
    </row>
    <row r="83" spans="2:9" ht="15" customHeight="1" x14ac:dyDescent="0.25">
      <c r="B83" s="119" t="str">
        <f>IF(AND(Empfehlungen!K26=1,Empfehlungen!F26&lt;&gt;"",Empfehlungen!F26&gt;0),Empfehlungen!B26,"")</f>
        <v/>
      </c>
      <c r="C83" s="205" t="str">
        <f>IF(AND(Empfehlungen!K26=1,Empfehlungen!F26&lt;&gt;"",Empfehlungen!F26&gt;0),Empfehlungen!C26,"")</f>
        <v/>
      </c>
      <c r="D83" s="206" t="str">
        <f>IF(AND(Empfehlungen!K26=1,Empfehlungen!F26&lt;&gt;"",Empfehlungen!F26&gt;0),Empfehlungen!F26,"")</f>
        <v/>
      </c>
      <c r="E83" s="206" t="str">
        <f>IF(AND(Empfehlungen!K26=1,Empfehlungen!F26&lt;&gt;"",Empfehlungen!F26&gt;0),Empfehlungen!N26,"")</f>
        <v/>
      </c>
      <c r="F83" s="121" t="str">
        <f>IF(AND(Empfehlungen!K26=1,Empfehlungen!F26&lt;&gt;"",Empfehlungen!F26&gt;0),Empfehlungen!G26,"")</f>
        <v/>
      </c>
      <c r="G83" s="207"/>
      <c r="H83" s="207"/>
      <c r="I83" s="207"/>
    </row>
    <row r="84" spans="2:9" ht="15" customHeight="1" x14ac:dyDescent="0.25">
      <c r="B84" s="119" t="str">
        <f>IF(AND(Empfehlungen!K27=1,Empfehlungen!F27&lt;&gt;"",Empfehlungen!F27&gt;0),Empfehlungen!B27,"")</f>
        <v/>
      </c>
      <c r="C84" s="205" t="str">
        <f>IF(AND(Empfehlungen!K27=1,Empfehlungen!F27&lt;&gt;"",Empfehlungen!F27&gt;0),Empfehlungen!C27,"")</f>
        <v/>
      </c>
      <c r="D84" s="206" t="str">
        <f>IF(AND(Empfehlungen!K27=1,Empfehlungen!F27&lt;&gt;"",Empfehlungen!F27&gt;0),Empfehlungen!F27,"")</f>
        <v/>
      </c>
      <c r="E84" s="206" t="str">
        <f>IF(AND(Empfehlungen!K27=1,Empfehlungen!F27&lt;&gt;"",Empfehlungen!F27&gt;0),Empfehlungen!N27,"")</f>
        <v/>
      </c>
      <c r="F84" s="121" t="str">
        <f>IF(AND(Empfehlungen!K27=1,Empfehlungen!F27&lt;&gt;"",Empfehlungen!F27&gt;0),Empfehlungen!G27,"")</f>
        <v/>
      </c>
      <c r="G84" s="207"/>
      <c r="H84" s="207"/>
      <c r="I84" s="207"/>
    </row>
    <row r="87" spans="2:9" ht="15.75" customHeight="1" x14ac:dyDescent="0.25">
      <c r="B87" s="212" t="s">
        <v>424</v>
      </c>
    </row>
    <row r="88" spans="2:9" ht="15" customHeight="1" x14ac:dyDescent="0.25">
      <c r="B88" s="174" t="s">
        <v>444</v>
      </c>
      <c r="D88" s="181">
        <f>COUNTIF(Empfehlungen!N6:N27,"*Quick Win*")+COUNTIF(Empfehlungen!N6:N27,"*Kleine Verbesserung*")</f>
        <v>0</v>
      </c>
      <c r="E88" s="213" t="s">
        <v>445</v>
      </c>
    </row>
    <row r="89" spans="2:9" ht="15" customHeight="1" x14ac:dyDescent="0.25">
      <c r="B89" s="174" t="s">
        <v>446</v>
      </c>
      <c r="D89" s="181">
        <f>COUNTIF(Empfehlungen!K6:K27,2)-COUNTIFS(Empfehlungen!K6:K27,2,Empfehlungen!F6:F27,0)-COUNTIFS(Empfehlungen!K6:K27,2,Empfehlungen!F6:F27,"")</f>
        <v>0</v>
      </c>
      <c r="E89" s="213" t="s">
        <v>445</v>
      </c>
    </row>
    <row r="90" spans="2:9" ht="15" customHeight="1" x14ac:dyDescent="0.25">
      <c r="B90" s="174" t="s">
        <v>447</v>
      </c>
      <c r="D90" s="181">
        <f>COUNTIF(Empfehlungen!K6:K27,1)-COUNTIFS(Empfehlungen!K6:K27,1,Empfehlungen!F6:F27,0)-COUNTIFS(Empfehlungen!K6:K27,1,Empfehlungen!F6:F27,"")</f>
        <v>0</v>
      </c>
      <c r="E90" s="213" t="s">
        <v>445</v>
      </c>
    </row>
    <row r="91" spans="2:9" ht="15" customHeight="1" x14ac:dyDescent="0.25">
      <c r="B91" s="214" t="s">
        <v>448</v>
      </c>
      <c r="D91" s="181">
        <f>COUNTIF(Empfehlungen!N6:N27,"*OK*")</f>
        <v>22</v>
      </c>
      <c r="E91" s="213" t="s">
        <v>408</v>
      </c>
    </row>
  </sheetData>
  <pageMargins left="0.75" right="0.75" top="1" bottom="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Anleitung</vt:lpstr>
      <vt:lpstr>Unternehmensdaten</vt:lpstr>
      <vt:lpstr>Dashboard</vt:lpstr>
      <vt:lpstr>Executive Summary</vt:lpstr>
      <vt:lpstr>Bewertung</vt:lpstr>
      <vt:lpstr>Ergebnisse</vt:lpstr>
      <vt:lpstr>Gefährdung</vt:lpstr>
      <vt:lpstr>Empfehlungen</vt:lpstr>
      <vt:lpstr>Roadmap</vt:lpstr>
      <vt:lpstr>Massnahmenplan</vt:lpstr>
      <vt:lpstr>Hilfsmittel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Simon Wälti</cp:lastModifiedBy>
  <cp:revision>15</cp:revision>
  <cp:lastPrinted>2026-03-05T12:17:35Z</cp:lastPrinted>
  <dcterms:created xsi:type="dcterms:W3CDTF">2026-02-13T15:14:38Z</dcterms:created>
  <dcterms:modified xsi:type="dcterms:W3CDTF">2026-06-09T13:05:16Z</dcterms:modified>
  <dc:language>en-US</dc:language>
</cp:coreProperties>
</file>